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tamaplastic-my.sharepoint.com/personal/matthew_mcwilliams_tama-usa_com/Documents/Desktop/RTM Support Files/"/>
    </mc:Choice>
  </mc:AlternateContent>
  <xr:revisionPtr revIDLastSave="731" documentId="8_{4AC53CB5-3C8D-4EC6-880E-6A6474A02D7A}" xr6:coauthVersionLast="47" xr6:coauthVersionMax="47" xr10:uidLastSave="{F012F3ED-5C0C-4FA2-93D4-81833188B2E3}"/>
  <workbookProtection workbookAlgorithmName="SHA-512" workbookHashValue="GsQPNFafnRw/Qh/Zpx9kGzzMz4KIh+GqcuhSay9Nnwg8Zh/4MpEj/Tvel+XB/LFVSv48ICNfoXnOetGl2pcf6g==" workbookSaltValue="SeOzVDY7LXavkRHAOu9w0A==" workbookSpinCount="100000" lockStructure="1"/>
  <bookViews>
    <workbookView xWindow="-98" yWindow="-98" windowWidth="21795" windowHeight="13875" tabRatio="608" firstSheet="4" activeTab="6" xr2:uid="{00000000-000D-0000-FFFF-FFFF00000000}"/>
  </bookViews>
  <sheets>
    <sheet name="Netwrap Calculator" sheetId="13" r:id="rId1"/>
    <sheet name="Net Data" sheetId="14" state="hidden" r:id="rId2"/>
    <sheet name="Dealer Twine Cost Comparison" sheetId="16" r:id="rId3"/>
    <sheet name="End User Twine Cost Comparison" sheetId="17" r:id="rId4"/>
    <sheet name="Impax Cost Comparison" sheetId="3" r:id="rId5"/>
    <sheet name="Impax Transport Savings" sheetId="7" r:id="rId6"/>
    <sheet name="Impax Cost Summary" sheetId="8" r:id="rId7"/>
    <sheet name="Twine Data" sheetId="18" state="hidden" r:id="rId8"/>
  </sheets>
  <externalReferences>
    <externalReference r:id="rId9"/>
  </externalReferences>
  <definedNames>
    <definedName name="_xlnm.Print_Area" localSheetId="4">'Impax Cost Comparison'!$B$2:$E$40</definedName>
    <definedName name="_xlnm.Print_Area" localSheetId="6">'Impax Cost Summary'!$A$1:$H$40</definedName>
    <definedName name="_xlnm.Print_Area" localSheetId="5">'Impax Transport Savings'!$A$1:$G$43</definedName>
    <definedName name="Twine_name" localSheetId="2">[1]!Table1[Column1]</definedName>
    <definedName name="Twine_name">[1]!Table1[Column1]</definedName>
  </definedNames>
  <calcPr calcId="191028"/>
  <customWorkbookViews>
    <customWorkbookView name="User1" guid="{C9E71BE1-D4DA-4D20-8F4B-0CB148DAA91F}" maximized="1" xWindow="5459" yWindow="67" windowWidth="3866" windowHeight="2106" tabRatio="500"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3" i="18" l="1"/>
  <c r="E4" i="18"/>
  <c r="E5" i="18"/>
  <c r="E6" i="18"/>
  <c r="E7" i="18"/>
  <c r="E8" i="18"/>
  <c r="E9" i="18"/>
  <c r="E10" i="18"/>
  <c r="E11" i="18"/>
  <c r="E12" i="18"/>
  <c r="E13" i="18"/>
  <c r="E14" i="18"/>
  <c r="E15" i="18"/>
  <c r="E16" i="18"/>
  <c r="E17" i="18"/>
  <c r="E18" i="18"/>
  <c r="E19" i="18"/>
  <c r="E20" i="18"/>
  <c r="E21" i="18"/>
  <c r="E22" i="18"/>
  <c r="E23" i="18"/>
  <c r="E24" i="18"/>
  <c r="E25" i="18"/>
  <c r="E26" i="18"/>
  <c r="E27" i="18"/>
  <c r="E28" i="18"/>
  <c r="E29" i="18"/>
  <c r="F35" i="18"/>
  <c r="F36" i="18"/>
  <c r="F37" i="18"/>
  <c r="F38" i="18"/>
  <c r="F39" i="18"/>
  <c r="F40" i="18"/>
  <c r="F41" i="18"/>
  <c r="F42" i="18"/>
  <c r="F43" i="18"/>
  <c r="F44" i="18"/>
  <c r="F45" i="18"/>
  <c r="F46" i="18"/>
  <c r="F47" i="18"/>
  <c r="F48" i="18"/>
  <c r="F49" i="18"/>
  <c r="F50" i="18"/>
  <c r="F51" i="18"/>
  <c r="F52" i="18"/>
  <c r="F54" i="18"/>
  <c r="F55" i="18"/>
  <c r="F56" i="18"/>
  <c r="F57" i="18"/>
  <c r="F58" i="18"/>
  <c r="F59" i="18"/>
  <c r="F60" i="18"/>
  <c r="F34" i="18"/>
  <c r="E35" i="18"/>
  <c r="E36" i="18"/>
  <c r="E37" i="18"/>
  <c r="E38" i="18"/>
  <c r="E39" i="18"/>
  <c r="E40" i="18"/>
  <c r="E41" i="18"/>
  <c r="E42" i="18"/>
  <c r="E43" i="18"/>
  <c r="E44" i="18"/>
  <c r="E45" i="18"/>
  <c r="E46" i="18"/>
  <c r="E47" i="18"/>
  <c r="E48" i="18"/>
  <c r="E49" i="18"/>
  <c r="E50" i="18"/>
  <c r="E51" i="18"/>
  <c r="E52" i="18"/>
  <c r="E53" i="18"/>
  <c r="F53" i="18" s="1"/>
  <c r="E54" i="18"/>
  <c r="E55" i="18"/>
  <c r="E56" i="18"/>
  <c r="E57" i="18"/>
  <c r="E58" i="18"/>
  <c r="E59" i="18"/>
  <c r="E60" i="18"/>
  <c r="E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34" i="18"/>
  <c r="G323" i="14" l="1"/>
  <c r="G324" i="14"/>
  <c r="G325" i="14"/>
  <c r="G322" i="14"/>
  <c r="G321" i="14"/>
  <c r="F21" i="13" l="1"/>
  <c r="G17" i="17"/>
  <c r="G15" i="17"/>
  <c r="G13" i="17"/>
  <c r="G11" i="17"/>
  <c r="D17" i="17"/>
  <c r="D15" i="17"/>
  <c r="D13" i="17"/>
  <c r="D11" i="17"/>
  <c r="G31" i="17"/>
  <c r="D31" i="17"/>
  <c r="D27" i="16"/>
  <c r="D31" i="16"/>
  <c r="D39" i="16" s="1"/>
  <c r="G31" i="16"/>
  <c r="G33" i="16" s="1"/>
  <c r="G45" i="16" s="1"/>
  <c r="G19" i="17" s="1"/>
  <c r="D35" i="17" l="1"/>
  <c r="D38" i="17" s="1"/>
  <c r="D29" i="16"/>
  <c r="G35" i="17"/>
  <c r="G38" i="17" s="1"/>
  <c r="G40" i="17" s="1"/>
  <c r="G21" i="17"/>
  <c r="G39" i="16"/>
  <c r="G29" i="16" s="1"/>
  <c r="G35" i="16"/>
  <c r="G37" i="16" s="1"/>
  <c r="D33" i="16"/>
  <c r="D45" i="16" s="1"/>
  <c r="D35" i="16"/>
  <c r="D37" i="16" s="1"/>
  <c r="G51" i="16"/>
  <c r="G47" i="16"/>
  <c r="G49" i="16" s="1"/>
  <c r="D51" i="16" l="1"/>
  <c r="D19" i="17"/>
  <c r="D21" i="17" s="1"/>
  <c r="D23" i="17" s="1"/>
  <c r="G23" i="17"/>
  <c r="G33" i="17"/>
  <c r="G37" i="17" s="1"/>
  <c r="D47" i="16"/>
  <c r="D49" i="16" s="1"/>
  <c r="H16" i="13"/>
  <c r="G16" i="13"/>
  <c r="K43" i="13"/>
  <c r="J43" i="13"/>
  <c r="H51" i="13"/>
  <c r="G51" i="13"/>
  <c r="F51" i="13"/>
  <c r="L12" i="13"/>
  <c r="K12" i="13"/>
  <c r="J12" i="13"/>
  <c r="G170" i="14"/>
  <c r="G169" i="14"/>
  <c r="G168" i="14"/>
  <c r="G167" i="14"/>
  <c r="G166" i="14"/>
  <c r="G175" i="14"/>
  <c r="G174" i="14"/>
  <c r="G173" i="14"/>
  <c r="G172" i="14"/>
  <c r="G171" i="14"/>
  <c r="D33" i="17" l="1"/>
  <c r="D37" i="17" s="1"/>
  <c r="D40" i="17"/>
  <c r="G235" i="14"/>
  <c r="H45" i="13"/>
  <c r="G45" i="13"/>
  <c r="F45" i="13"/>
  <c r="G311" i="14"/>
  <c r="G312" i="14"/>
  <c r="G313" i="14"/>
  <c r="G314" i="14"/>
  <c r="G315" i="14"/>
  <c r="G316" i="14"/>
  <c r="G317" i="14"/>
  <c r="G318" i="14"/>
  <c r="G319" i="14"/>
  <c r="G320" i="14"/>
  <c r="G296" i="14"/>
  <c r="G297" i="14"/>
  <c r="G298" i="14"/>
  <c r="G299" i="14"/>
  <c r="G300" i="14"/>
  <c r="G301" i="14"/>
  <c r="G302" i="14"/>
  <c r="G303" i="14"/>
  <c r="G304" i="14"/>
  <c r="G305" i="14"/>
  <c r="G306" i="14"/>
  <c r="G307" i="14"/>
  <c r="G308" i="14"/>
  <c r="G309" i="14"/>
  <c r="G310" i="14"/>
  <c r="G266" i="14"/>
  <c r="G267" i="14"/>
  <c r="G268" i="14"/>
  <c r="G269" i="14"/>
  <c r="G270" i="14"/>
  <c r="G271" i="14"/>
  <c r="G272" i="14"/>
  <c r="G273" i="14"/>
  <c r="G274" i="14"/>
  <c r="G275" i="14"/>
  <c r="G276" i="14"/>
  <c r="G277" i="14"/>
  <c r="G278" i="14"/>
  <c r="G279" i="14"/>
  <c r="G280" i="14"/>
  <c r="G281" i="14"/>
  <c r="G282" i="14"/>
  <c r="G283" i="14"/>
  <c r="G284" i="14"/>
  <c r="G285" i="14"/>
  <c r="G286" i="14"/>
  <c r="G287" i="14"/>
  <c r="G288" i="14"/>
  <c r="G289" i="14"/>
  <c r="G290" i="14"/>
  <c r="G291" i="14"/>
  <c r="G292" i="14"/>
  <c r="G293" i="14"/>
  <c r="G294" i="14"/>
  <c r="G295" i="14"/>
  <c r="G236" i="14"/>
  <c r="G237" i="14"/>
  <c r="G238" i="14"/>
  <c r="G239" i="14"/>
  <c r="G240" i="14"/>
  <c r="G241" i="14"/>
  <c r="G242" i="14"/>
  <c r="G243" i="14"/>
  <c r="G244" i="14"/>
  <c r="G245" i="14"/>
  <c r="G246" i="14"/>
  <c r="G247" i="14"/>
  <c r="G248" i="14"/>
  <c r="G249" i="14"/>
  <c r="G250" i="14"/>
  <c r="G251" i="14"/>
  <c r="G252" i="14"/>
  <c r="G253" i="14"/>
  <c r="G254" i="14"/>
  <c r="G255" i="14"/>
  <c r="G256" i="14"/>
  <c r="G257" i="14"/>
  <c r="G258" i="14"/>
  <c r="G259" i="14"/>
  <c r="G260" i="14"/>
  <c r="G261" i="14"/>
  <c r="G262" i="14"/>
  <c r="G263" i="14"/>
  <c r="G264" i="14"/>
  <c r="G26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176" i="14"/>
  <c r="G177" i="14"/>
  <c r="G178" i="14"/>
  <c r="G179" i="14"/>
  <c r="G180" i="14"/>
  <c r="G181" i="14"/>
  <c r="G182" i="14"/>
  <c r="G183" i="14"/>
  <c r="G184" i="14"/>
  <c r="G185" i="14"/>
  <c r="G126" i="14"/>
  <c r="G127" i="14"/>
  <c r="G128" i="14"/>
  <c r="G129" i="14"/>
  <c r="G130" i="14"/>
  <c r="G131" i="14"/>
  <c r="G132" i="14"/>
  <c r="G133" i="14"/>
  <c r="G134" i="14"/>
  <c r="G135" i="14"/>
  <c r="G136" i="14"/>
  <c r="G137" i="14"/>
  <c r="G138" i="14"/>
  <c r="G139" i="14"/>
  <c r="G140" i="14"/>
  <c r="G141" i="14"/>
  <c r="G142" i="14"/>
  <c r="G143" i="14"/>
  <c r="G144" i="14"/>
  <c r="G145" i="14"/>
  <c r="G146" i="14"/>
  <c r="G147" i="14"/>
  <c r="G148" i="14"/>
  <c r="G149" i="14"/>
  <c r="G150" i="14"/>
  <c r="G151" i="14"/>
  <c r="G152" i="14"/>
  <c r="G153" i="14"/>
  <c r="G154" i="14"/>
  <c r="G155" i="14"/>
  <c r="G156" i="14"/>
  <c r="G157" i="14"/>
  <c r="G158" i="14"/>
  <c r="G159" i="14"/>
  <c r="G160" i="14"/>
  <c r="G161" i="14"/>
  <c r="G162" i="14"/>
  <c r="G163" i="14"/>
  <c r="G164" i="14"/>
  <c r="G165" i="14"/>
  <c r="G111" i="14"/>
  <c r="G112" i="14"/>
  <c r="G113" i="14"/>
  <c r="G114" i="14"/>
  <c r="G115" i="14"/>
  <c r="G116" i="14"/>
  <c r="G117" i="14"/>
  <c r="G118" i="14"/>
  <c r="G119" i="14"/>
  <c r="G120" i="14"/>
  <c r="G121" i="14"/>
  <c r="G122" i="14"/>
  <c r="G123" i="14"/>
  <c r="G124" i="14"/>
  <c r="G125" i="14"/>
  <c r="G110" i="14" l="1"/>
  <c r="G109" i="14"/>
  <c r="G108" i="14"/>
  <c r="G107" i="14"/>
  <c r="G106" i="14"/>
  <c r="G105" i="14"/>
  <c r="G104" i="14"/>
  <c r="G103" i="14"/>
  <c r="G102" i="14"/>
  <c r="G101" i="14"/>
  <c r="G100" i="14"/>
  <c r="G99" i="14"/>
  <c r="G98" i="14"/>
  <c r="G97" i="14"/>
  <c r="G96" i="14"/>
  <c r="G95" i="14"/>
  <c r="G94" i="14"/>
  <c r="G93" i="14"/>
  <c r="G92" i="14"/>
  <c r="G91" i="14"/>
  <c r="G90" i="14"/>
  <c r="G89" i="14"/>
  <c r="G88" i="14"/>
  <c r="G87" i="14"/>
  <c r="G86" i="14"/>
  <c r="H57" i="13"/>
  <c r="G57" i="13"/>
  <c r="F57" i="13"/>
  <c r="H39" i="13"/>
  <c r="G39" i="13"/>
  <c r="F39" i="13"/>
  <c r="H33" i="13"/>
  <c r="G33" i="13"/>
  <c r="F33" i="13"/>
  <c r="H27" i="13"/>
  <c r="G27" i="13"/>
  <c r="F27" i="13"/>
  <c r="H21" i="13"/>
  <c r="G21" i="13"/>
  <c r="H15" i="13"/>
  <c r="G15" i="13"/>
  <c r="F15" i="13"/>
  <c r="H9" i="13"/>
  <c r="G9" i="13"/>
  <c r="F9" i="13"/>
  <c r="G186" i="14"/>
  <c r="G187" i="14"/>
  <c r="G188" i="14"/>
  <c r="G189" i="14"/>
  <c r="G190" i="14"/>
  <c r="G191" i="14"/>
  <c r="G192" i="14"/>
  <c r="G193" i="14"/>
  <c r="G194" i="14"/>
  <c r="G195" i="14"/>
  <c r="G196" i="14"/>
  <c r="G197" i="14"/>
  <c r="G198" i="14"/>
  <c r="G199" i="14"/>
  <c r="G200" i="14"/>
  <c r="G201" i="14"/>
  <c r="G202" i="14"/>
  <c r="G203" i="14"/>
  <c r="G204" i="14"/>
  <c r="G205" i="14"/>
  <c r="G85" i="14"/>
  <c r="G84" i="14"/>
  <c r="G83" i="14"/>
  <c r="G82" i="14"/>
  <c r="G81" i="14"/>
  <c r="I91" i="14"/>
  <c r="I85" i="14"/>
  <c r="H40" i="13"/>
  <c r="I92" i="14" s="1"/>
  <c r="G40" i="13"/>
  <c r="I86" i="14" s="1"/>
  <c r="I87" i="14" s="1" a="1"/>
  <c r="I87" i="14" s="1"/>
  <c r="H10" i="13"/>
  <c r="G10" i="13"/>
  <c r="G77" i="14"/>
  <c r="G78" i="14"/>
  <c r="G79" i="14"/>
  <c r="G80" i="14"/>
  <c r="G76" i="14"/>
  <c r="I80" i="14"/>
  <c r="I79" i="14"/>
  <c r="I93" i="14" l="1" a="1"/>
  <c r="I93" i="14" s="1"/>
  <c r="L13" i="13" s="1"/>
  <c r="I81" i="14" a="1"/>
  <c r="I81" i="14" s="1"/>
  <c r="J13" i="13" s="1"/>
  <c r="K13" i="13"/>
  <c r="L43" i="13" l="1"/>
  <c r="H76" i="13"/>
  <c r="H78" i="13" s="1"/>
  <c r="G76" i="13"/>
  <c r="G78" i="13" s="1"/>
  <c r="K25" i="13" s="1"/>
  <c r="F76" i="13"/>
  <c r="F78" i="13" s="1"/>
  <c r="L54" i="13"/>
  <c r="K54" i="13"/>
  <c r="J54" i="13"/>
  <c r="L30" i="13"/>
  <c r="K30" i="13"/>
  <c r="J30" i="13"/>
  <c r="L48" i="13"/>
  <c r="K48" i="13"/>
  <c r="J48" i="13"/>
  <c r="H28" i="13"/>
  <c r="G28" i="13"/>
  <c r="L18" i="13"/>
  <c r="K18" i="13"/>
  <c r="J18" i="13"/>
  <c r="J24" i="13"/>
  <c r="K24" i="13"/>
  <c r="L24" i="13"/>
  <c r="J36" i="13"/>
  <c r="K36" i="13"/>
  <c r="L36" i="13"/>
  <c r="J42" i="13"/>
  <c r="K42" i="13"/>
  <c r="L42" i="13"/>
  <c r="C40" i="8"/>
  <c r="C38" i="8"/>
  <c r="F34" i="8"/>
  <c r="C34" i="8"/>
  <c r="C22" i="3"/>
  <c r="E3" i="7"/>
  <c r="E10" i="7" s="1"/>
  <c r="E16" i="7" s="1"/>
  <c r="C3" i="7"/>
  <c r="C10" i="7" s="1"/>
  <c r="C16" i="7" s="1"/>
  <c r="E17" i="3"/>
  <c r="E26" i="3"/>
  <c r="C17" i="3"/>
  <c r="C26" i="3"/>
  <c r="E7" i="3"/>
  <c r="E8" i="7" s="1"/>
  <c r="C9" i="3"/>
  <c r="C8" i="7"/>
  <c r="C19" i="7" s="1"/>
  <c r="C6" i="7"/>
  <c r="E6" i="7" s="1"/>
  <c r="E11" i="3"/>
  <c r="C15" i="3"/>
  <c r="E12" i="3"/>
  <c r="C5" i="7"/>
  <c r="E5" i="7" s="1"/>
  <c r="C4" i="7"/>
  <c r="E13" i="7"/>
  <c r="E12" i="7"/>
  <c r="E14" i="3"/>
  <c r="E13" i="3"/>
  <c r="E10" i="3"/>
  <c r="G3" i="18" l="1"/>
  <c r="E19" i="3" s="1"/>
  <c r="G12" i="18"/>
  <c r="E18" i="3" s="1"/>
  <c r="G9" i="18"/>
  <c r="E24" i="3" s="1"/>
  <c r="G6" i="18"/>
  <c r="E20" i="3" s="1"/>
  <c r="E22" i="3" s="1"/>
  <c r="E29" i="3" s="1"/>
  <c r="J25" i="13"/>
  <c r="J31" i="13"/>
  <c r="J37" i="13" s="1"/>
  <c r="E15" i="3"/>
  <c r="C7" i="7"/>
  <c r="E7" i="7" s="1"/>
  <c r="E4" i="7"/>
  <c r="C27" i="3"/>
  <c r="C11" i="7"/>
  <c r="L25" i="13"/>
  <c r="C28" i="3"/>
  <c r="C31" i="3"/>
  <c r="C29" i="3"/>
  <c r="C30" i="3" s="1"/>
  <c r="E19" i="7"/>
  <c r="E6" i="3"/>
  <c r="E28" i="3" l="1"/>
  <c r="E27" i="3"/>
  <c r="E30" i="3"/>
  <c r="C17" i="7"/>
  <c r="C18" i="7" s="1"/>
  <c r="C20" i="7" s="1"/>
  <c r="E11" i="7"/>
  <c r="E17" i="7" s="1"/>
  <c r="E18" i="7" s="1"/>
  <c r="L31" i="13"/>
  <c r="L37" i="13" s="1"/>
  <c r="K31" i="13"/>
  <c r="K37" i="13" s="1"/>
  <c r="K19" i="13"/>
  <c r="C32" i="3"/>
  <c r="C36" i="8"/>
  <c r="C44" i="8" s="1"/>
  <c r="F38" i="8"/>
  <c r="E9" i="3"/>
  <c r="E31" i="3"/>
  <c r="F40" i="8"/>
  <c r="L19" i="13"/>
  <c r="J19" i="13"/>
  <c r="J55" i="13" s="1"/>
  <c r="K49" i="13" l="1"/>
  <c r="K55" i="13"/>
  <c r="L49" i="13"/>
  <c r="L55" i="13"/>
  <c r="B25" i="8"/>
  <c r="B22" i="8"/>
  <c r="E32" i="3"/>
  <c r="B34" i="3" s="1"/>
  <c r="B23" i="8"/>
  <c r="F36" i="8"/>
  <c r="F44" i="8" s="1"/>
  <c r="E47" i="8" s="1"/>
  <c r="B26" i="8"/>
  <c r="E20" i="7"/>
  <c r="B27" i="8" s="1"/>
  <c r="J49" i="13"/>
  <c r="B22" i="7" l="1"/>
  <c r="F29" i="8"/>
  <c r="B24"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<sst xmlns="http://schemas.openxmlformats.org/spreadsheetml/2006/main" count="1001" uniqueCount="306">
  <si>
    <t>Netwrap Brand Comparison</t>
  </si>
  <si>
    <t>Cordex All Brands</t>
  </si>
  <si>
    <t>Claas</t>
  </si>
  <si>
    <t>Bale Height (inches)</t>
  </si>
  <si>
    <t>Manufacturer's Suggested Wraps/ Bale</t>
  </si>
  <si>
    <t>Netwrap Width</t>
  </si>
  <si>
    <t>Number of netwrap rolls needed</t>
  </si>
  <si>
    <t>Stated length of each roll of netwrap</t>
  </si>
  <si>
    <t>Number of round bales per roll</t>
  </si>
  <si>
    <t>Number of bales per season</t>
  </si>
  <si>
    <t>Feet of netwrap needed per bale</t>
  </si>
  <si>
    <t>Weight of 1 roll of netwrap (lbs)</t>
  </si>
  <si>
    <t>Netwrap cost per bale</t>
  </si>
  <si>
    <t>Crop Type Baled</t>
  </si>
  <si>
    <t>Grass Hay</t>
  </si>
  <si>
    <t>Cost per foot of netwrap</t>
  </si>
  <si>
    <t>Difference in Actual Wraps Used</t>
  </si>
  <si>
    <t>Netwrap season cost</t>
  </si>
  <si>
    <t>% Roll Length Shortage</t>
  </si>
  <si>
    <t>Netwrap cost per roll</t>
  </si>
  <si>
    <t>Salesperson</t>
  </si>
  <si>
    <t>Direct Line</t>
  </si>
  <si>
    <t>Email</t>
  </si>
  <si>
    <t>Name</t>
  </si>
  <si>
    <t>555-555-5555</t>
  </si>
  <si>
    <t>john@tama-usa.com</t>
  </si>
  <si>
    <t>info@bridon-usa.com</t>
  </si>
  <si>
    <t>This is the number of feet to wrap your bale 1 time</t>
  </si>
  <si>
    <t>formula of total footage/bale</t>
  </si>
  <si>
    <t>www.bridon-usa.com</t>
  </si>
  <si>
    <t>800-835-3255</t>
  </si>
  <si>
    <t>End User Rebate</t>
  </si>
  <si>
    <t>Twine # 1 Name</t>
  </si>
  <si>
    <t>T &amp; H Packaging</t>
  </si>
  <si>
    <t>JD Impax 4730/ 450</t>
  </si>
  <si>
    <t>Twine Length (ft.)</t>
  </si>
  <si>
    <t>Twine Knot Strength (lbs.)</t>
  </si>
  <si>
    <t>Number of Spools per Pallet</t>
  </si>
  <si>
    <t>Base Price per Spool (USD)</t>
  </si>
  <si>
    <t>Early Order Discount % or LID %</t>
  </si>
  <si>
    <t>Cash Discount %</t>
  </si>
  <si>
    <t>Special Rebates (USD)</t>
  </si>
  <si>
    <t>Freight Charges (USD)</t>
  </si>
  <si>
    <t>Number of Pallets Needed</t>
  </si>
  <si>
    <t>Net Total Spool Cost/Year</t>
  </si>
  <si>
    <t>Net Cost per Spool (USD)</t>
  </si>
  <si>
    <t>Net Cost per Spool w/Freight</t>
  </si>
  <si>
    <t>Net Cost per Foot (USD)</t>
  </si>
  <si>
    <t>OR</t>
  </si>
  <si>
    <t>Net Cost per 1,000' (USD)</t>
  </si>
  <si>
    <t>Net Cost per Pallet (USD)</t>
  </si>
  <si>
    <t>Retail Pricing</t>
  </si>
  <si>
    <t>Margin %</t>
  </si>
  <si>
    <t>Retail Price per Spool</t>
  </si>
  <si>
    <t>Retail Price per Foot (USD)</t>
  </si>
  <si>
    <t>Retail Price per 1,000' (USD)</t>
  </si>
  <si>
    <t>Retail Price per Pallet</t>
  </si>
  <si>
    <t>****The boxed cells are fillable****</t>
  </si>
  <si>
    <t>Twine # 2 Name</t>
  </si>
  <si>
    <t>Twine Spool Length (ft.)</t>
  </si>
  <si>
    <t>Price per Spool (USD)</t>
  </si>
  <si>
    <t>Cost per Foot (USD)</t>
  </si>
  <si>
    <t>Cost per 1,000' (USD)</t>
  </si>
  <si>
    <t>Number of Knotters per Baler</t>
  </si>
  <si>
    <t>(3X3 = 4) (3X4 = 6 or 8) (4X4 = 6)</t>
  </si>
  <si>
    <t>Length of Twine per Knotter (ft.)</t>
  </si>
  <si>
    <t>Length of twine per Knotter (ft.)</t>
  </si>
  <si>
    <t>(3X3 &amp; 3X4 = 22.4')  (4X4 = 24.4')</t>
  </si>
  <si>
    <t>Number of Bales/ Season</t>
  </si>
  <si>
    <t>Length of Twine per Square Bale</t>
  </si>
  <si>
    <t>Twine Cost per Square Bale</t>
  </si>
  <si>
    <t>Number of Spools Needed</t>
  </si>
  <si>
    <t>Total Season Twine Cost</t>
  </si>
  <si>
    <t>Rounded Up Number of Pallets Needed for the Season</t>
  </si>
  <si>
    <t>Cost for Rounded Up # of Pallets</t>
  </si>
  <si>
    <t>Comparison</t>
  </si>
  <si>
    <t>Bales per year</t>
  </si>
  <si>
    <t>Density Increase %</t>
  </si>
  <si>
    <t>Current bale weight (lbs)</t>
  </si>
  <si>
    <t>Total US Tons per Year</t>
  </si>
  <si>
    <t>Height of bale (inches)</t>
  </si>
  <si>
    <t>Width of bale (inches)</t>
  </si>
  <si>
    <t>Length of bale (inches)</t>
  </si>
  <si>
    <t>Spools per baler load</t>
  </si>
  <si>
    <t>Twine length per bale (feet)</t>
  </si>
  <si>
    <t>Enter Data in White Cells Only</t>
  </si>
  <si>
    <t>Twine characteristics</t>
  </si>
  <si>
    <t>Knot Strength Performance (lbs)</t>
  </si>
  <si>
    <t>Stated Spool length (ft)</t>
  </si>
  <si>
    <t>Average Length Shortage (%)</t>
  </si>
  <si>
    <t>Actual Length per Spool (ft)</t>
  </si>
  <si>
    <t>Price per spool ($)</t>
  </si>
  <si>
    <t>Spools per pallet</t>
  </si>
  <si>
    <t>Square bales per pallet</t>
  </si>
  <si>
    <t>Square bales per load</t>
  </si>
  <si>
    <t>Cost per foot</t>
  </si>
  <si>
    <t>Cost per bale ($)</t>
  </si>
  <si>
    <t>Spools per year</t>
  </si>
  <si>
    <t>Cost per year</t>
  </si>
  <si>
    <t>Bale target</t>
  </si>
  <si>
    <t>Density (lbs/ft3)</t>
  </si>
  <si>
    <t>Bales transportation</t>
  </si>
  <si>
    <t>Bales per truckload</t>
  </si>
  <si>
    <t>Transport cost per mile</t>
  </si>
  <si>
    <t>Transport miles per round trip</t>
  </si>
  <si>
    <t>Trucks per year</t>
  </si>
  <si>
    <t>Net weight per truck (lbs)</t>
  </si>
  <si>
    <t>Total transport cost</t>
  </si>
  <si>
    <t>By choosing IMPAX, here are the main cost improvement points.</t>
  </si>
  <si>
    <t>Your total cost saving is</t>
  </si>
  <si>
    <t>Downtime Differences</t>
  </si>
  <si>
    <t>Twine Box Loading</t>
  </si>
  <si>
    <t>Mis-Tied Knots</t>
  </si>
  <si>
    <t>Re-Baling</t>
  </si>
  <si>
    <t>Total Hours of Downtime</t>
  </si>
  <si>
    <t>Total Hours Saved</t>
  </si>
  <si>
    <t># of Wraps in Hay</t>
  </si>
  <si>
    <t># of Wraps in Straw</t>
  </si>
  <si>
    <t># of Wraps in Corn Stalks</t>
  </si>
  <si>
    <t>Height of Bale</t>
  </si>
  <si>
    <t>Width of Bale</t>
  </si>
  <si>
    <t>Length</t>
  </si>
  <si>
    <t>Wraps</t>
  </si>
  <si>
    <t>shortage</t>
  </si>
  <si>
    <t>Tier Level</t>
  </si>
  <si>
    <t>Competitve Net Brand</t>
  </si>
  <si>
    <t>Roll 1 comparison</t>
  </si>
  <si>
    <t>Roll 2 comparison</t>
  </si>
  <si>
    <t>Roll 3 Comparison</t>
  </si>
  <si>
    <t>Agco Advanced Netwrap</t>
  </si>
  <si>
    <t>Agrimesh</t>
  </si>
  <si>
    <t>Ag-Rite</t>
  </si>
  <si>
    <t>American Family</t>
  </si>
  <si>
    <t>Amjay</t>
  </si>
  <si>
    <t>Bale Tuff</t>
  </si>
  <si>
    <t>Balebind Netwrap</t>
  </si>
  <si>
    <t>Bale Tuff (red, white, blue)</t>
  </si>
  <si>
    <t>Blue Lakes Plastics</t>
  </si>
  <si>
    <t>Balpaq</t>
  </si>
  <si>
    <t>Canuck Premium</t>
  </si>
  <si>
    <t>CobraNet</t>
  </si>
  <si>
    <t>Country Tuff</t>
  </si>
  <si>
    <t>Colorbale</t>
  </si>
  <si>
    <t>Dominet</t>
  </si>
  <si>
    <t>Cordex Netex</t>
  </si>
  <si>
    <t>EcoBull</t>
  </si>
  <si>
    <t>Cordex Netex Diamond</t>
  </si>
  <si>
    <t>Farm Tuff</t>
  </si>
  <si>
    <t>Cordex Netexxbig</t>
  </si>
  <si>
    <t>Farmers Across Coverage</t>
  </si>
  <si>
    <t>Cordex NetexXtreme</t>
  </si>
  <si>
    <t>Field ready</t>
  </si>
  <si>
    <t>Cotesi Cross Net</t>
  </si>
  <si>
    <t>Golden Harvest</t>
  </si>
  <si>
    <t>Cotesi C-Plus</t>
  </si>
  <si>
    <t>Grand Harvest</t>
  </si>
  <si>
    <t>Cotesi Grand Harvest</t>
  </si>
  <si>
    <t>Great American Netwrap</t>
  </si>
  <si>
    <t>Cotesi X-Pand</t>
  </si>
  <si>
    <t>Harvest Master</t>
  </si>
  <si>
    <t>Cotesi XiD</t>
  </si>
  <si>
    <t>Hybrid Bale Netwrap</t>
  </si>
  <si>
    <t>DomiNet</t>
  </si>
  <si>
    <t>IFS</t>
  </si>
  <si>
    <t>Epicrop Gold</t>
  </si>
  <si>
    <t>John Deere</t>
  </si>
  <si>
    <t>Family Forage (red, white, blue)</t>
  </si>
  <si>
    <t>Kubota</t>
  </si>
  <si>
    <t>Family Forage</t>
  </si>
  <si>
    <t>Nature's Net Wrap</t>
  </si>
  <si>
    <t xml:space="preserve"> Farmers ACROSS COVEREDGE</t>
  </si>
  <si>
    <t>Other</t>
  </si>
  <si>
    <t>Gem Silage Products</t>
  </si>
  <si>
    <t>Patriot</t>
  </si>
  <si>
    <t>Pritchett</t>
  </si>
  <si>
    <t>Hybrid</t>
  </si>
  <si>
    <t>PXL</t>
  </si>
  <si>
    <t>Johnson Advantage</t>
  </si>
  <si>
    <t>Rondotex</t>
  </si>
  <si>
    <t>Norheim Ranching</t>
  </si>
  <si>
    <t>Silanet</t>
  </si>
  <si>
    <t>Nytro</t>
  </si>
  <si>
    <t>Swanson Ag</t>
  </si>
  <si>
    <t>Patriot Netwrap</t>
  </si>
  <si>
    <t>T&amp;H Packaging</t>
  </si>
  <si>
    <t>Polydress Topnet</t>
  </si>
  <si>
    <t>Tama Blue Zebra</t>
  </si>
  <si>
    <t>PolyExcel</t>
  </si>
  <si>
    <t>Tama Cycle</t>
  </si>
  <si>
    <t>Top Net</t>
  </si>
  <si>
    <t>Rondotex Evolution</t>
  </si>
  <si>
    <t>Top Net Performance</t>
  </si>
  <si>
    <t>SWANSON</t>
  </si>
  <si>
    <t>Tytan</t>
  </si>
  <si>
    <t>TexNet</t>
  </si>
  <si>
    <t>UFA Net</t>
  </si>
  <si>
    <t>TopNet</t>
  </si>
  <si>
    <t>Ultimate</t>
  </si>
  <si>
    <t xml:space="preserve"> Tytan</t>
  </si>
  <si>
    <t>XP</t>
  </si>
  <si>
    <t>Tytan Plus</t>
  </si>
  <si>
    <t>United Ag &amp; Turf</t>
  </si>
  <si>
    <t>Windrow</t>
  </si>
  <si>
    <t>Manufactures Recommended Number Of wraps</t>
  </si>
  <si>
    <t>* Means Additional wraps may be required as per label</t>
  </si>
  <si>
    <t>Silage</t>
  </si>
  <si>
    <t>Alfalfa</t>
  </si>
  <si>
    <t>Straw</t>
  </si>
  <si>
    <t>Corn Stalks</t>
  </si>
  <si>
    <t xml:space="preserve">4 to 5 </t>
  </si>
  <si>
    <t>3*</t>
  </si>
  <si>
    <t>3 Wheat Straw 4</t>
  </si>
  <si>
    <t>2*</t>
  </si>
  <si>
    <t>4*</t>
  </si>
  <si>
    <t>NA</t>
  </si>
  <si>
    <t>Cordex</t>
  </si>
  <si>
    <t>3 to 4</t>
  </si>
  <si>
    <t>4+</t>
  </si>
  <si>
    <t>Armour Net</t>
  </si>
  <si>
    <t>CNHI Integra</t>
  </si>
  <si>
    <t>2.5*</t>
  </si>
  <si>
    <t>3.5*</t>
  </si>
  <si>
    <t>Netwrap Brand</t>
  </si>
  <si>
    <t>Crop Type</t>
  </si>
  <si>
    <t># Wraps per Bale</t>
  </si>
  <si>
    <t>Concat</t>
  </si>
  <si>
    <t>First Calculator Column</t>
  </si>
  <si>
    <t>Netwrap Brand:</t>
  </si>
  <si>
    <t>Crop Type:</t>
  </si>
  <si>
    <t>NH Armour Net</t>
  </si>
  <si>
    <t>Suggested # of Wraps per Bale:</t>
  </si>
  <si>
    <t>Second Calculator Column</t>
  </si>
  <si>
    <t>NH White Net</t>
  </si>
  <si>
    <t>Third Calculator Column</t>
  </si>
  <si>
    <t>NH BaleKeeper</t>
  </si>
  <si>
    <t>CASE Armour Net</t>
  </si>
  <si>
    <t>CASE Mesh Wrap</t>
  </si>
  <si>
    <t>CASE BaleKeeper</t>
  </si>
  <si>
    <t>Bridon Max Net</t>
  </si>
  <si>
    <t>Bridon Integra Net</t>
  </si>
  <si>
    <t>Bridon Magnet</t>
  </si>
  <si>
    <t>Bridon Varsity Net</t>
  </si>
  <si>
    <t>Bridon AmericaNet</t>
  </si>
  <si>
    <t>Kubota Netwrap</t>
  </si>
  <si>
    <t>Claas Net</t>
  </si>
  <si>
    <t>TamaNet TT+</t>
  </si>
  <si>
    <t>Tama Golden Harvest</t>
  </si>
  <si>
    <t>BaleBind</t>
  </si>
  <si>
    <t>Vermeer</t>
  </si>
  <si>
    <t>T&amp;H</t>
  </si>
  <si>
    <t>2</t>
  </si>
  <si>
    <t>3</t>
  </si>
  <si>
    <t>Field Ready</t>
  </si>
  <si>
    <t>Total weight of rolls/ season(lbs)</t>
  </si>
  <si>
    <t>Twine Type</t>
  </si>
  <si>
    <t>John Deere IMPAX HD 4800/ 700</t>
  </si>
  <si>
    <t>John Deere IMPAX HD 5000/ 600 Mega Spool</t>
  </si>
  <si>
    <t>John Deere IMPAX HD 4700/ 600</t>
  </si>
  <si>
    <t>John Deere IMPAX 5200/ 500 Mega Spool</t>
  </si>
  <si>
    <t>John Deere IMPAX 4350/ 500</t>
  </si>
  <si>
    <t>John Deere IMPAX 5500/ 450 Mega Spool</t>
  </si>
  <si>
    <t>John Deere IMPAX 4730/ 450</t>
  </si>
  <si>
    <t>John Deere IMPAX 6000/ 400 Mega Spool</t>
  </si>
  <si>
    <t>John Deere IMPAX 4850/ 400</t>
  </si>
  <si>
    <t>Tama Premium IMPAX 4050/ 700</t>
  </si>
  <si>
    <t>Tama Premium IMPAX 4600/ 600</t>
  </si>
  <si>
    <t xml:space="preserve">Tama Premium IMPAX 5200/ 500 XL </t>
  </si>
  <si>
    <t>Tama Premium IMPAX 4000/ 500</t>
  </si>
  <si>
    <t>Tama Premium IMPAX 5480/ 450 XL</t>
  </si>
  <si>
    <t>Tama Premium IMPAX 4300/ 450</t>
  </si>
  <si>
    <t>Tama Premium IMPAX 6000/ 400 XL</t>
  </si>
  <si>
    <t>Tama Premium IMPAX 4650/ 400</t>
  </si>
  <si>
    <t>Tama Premium IMPAX 6400/ 350 XL</t>
  </si>
  <si>
    <t>Tama Premium IMPAX 4950/ 350</t>
  </si>
  <si>
    <t>Tama Premium IMPAX 7280/ 280</t>
  </si>
  <si>
    <t>Tama TT+ 4100/ 650 - T2</t>
  </si>
  <si>
    <t>Tama TT+ 4390/ 550 - T2</t>
  </si>
  <si>
    <t>Tama TT+ 6100/ 450 - T2 XL</t>
  </si>
  <si>
    <t>Tama TT+ 4700/ 450 - T2</t>
  </si>
  <si>
    <t>Tama TT+ 6900/ 350 - T2 XL</t>
  </si>
  <si>
    <t>Tama TT+ 5400/ 350 - T2</t>
  </si>
  <si>
    <t>Tama TT+ 9500/ 245 - T2 XL</t>
  </si>
  <si>
    <t>spool length</t>
  </si>
  <si>
    <t>Performance #</t>
  </si>
  <si>
    <t>Spools/ pallet</t>
  </si>
  <si>
    <t>Standard Twine</t>
  </si>
  <si>
    <t>IMPAX &amp; Tama Twine</t>
  </si>
  <si>
    <t>Performance Calc</t>
  </si>
  <si>
    <t>Length Calc</t>
  </si>
  <si>
    <t>Spools/ Pallet Calc</t>
  </si>
  <si>
    <t>Spool length - ft</t>
  </si>
  <si>
    <t>Meters</t>
  </si>
  <si>
    <t>Runnage</t>
  </si>
  <si>
    <t>KG weight</t>
  </si>
  <si>
    <t>LBS Weight</t>
  </si>
  <si>
    <t>Spool Weight LBS</t>
  </si>
  <si>
    <t>Spool Weight Calc</t>
  </si>
  <si>
    <t>For many years Tama has been striving to provide different solutions to high density twine users. The first objective was to reduce the quantity of plastic material on the same site, the second was to increase bale density. Now with IMPAX, reduce your cost on on square bale transport.</t>
  </si>
  <si>
    <t>Summary</t>
  </si>
  <si>
    <t>Weight of forage per year  (T)</t>
  </si>
  <si>
    <t>Cordex 4000/ 550</t>
  </si>
  <si>
    <t>Spool Weight (lbs)</t>
  </si>
  <si>
    <t>Operation Information</t>
  </si>
  <si>
    <t>Weight per bale (lbs)</t>
  </si>
  <si>
    <t>Number of Knotters</t>
  </si>
  <si>
    <t>*Enter information on previous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</si>
</sst>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_-* #,##0.00\ [$€-40C]_-;\-* #,##0.00\ [$€-40C]_-;_-* &quot;-&quot;??\ [$€-40C]_-;_-@_-"/>
    <numFmt numFmtId="165" formatCode="[$-40C]d/mmm/yyyy;@"/>
    <numFmt numFmtId="166" formatCode="#,##0_ ;\-#,##0\ "/>
    <numFmt numFmtId="167" formatCode="&quot;$&quot;#,##0.00"/>
    <numFmt numFmtId="168" formatCode="&quot;$&quot;#,##0.0000"/>
    <numFmt numFmtId="169" formatCode="0.0"/>
    <numFmt numFmtId="170" formatCode="&quot;$&quot;#,##0"/>
    <numFmt numFmtId="171" formatCode="_(&quot;$&quot;* #,##0.000_);_(&quot;$&quot;* \(#,##0.000\);_(&quot;$&quot;* &quot;-&quot;??_);_(@_)"/>
    <numFmt numFmtId="172" formatCode="##0.00\*"/>
  </numFmts>
  <fonts count="75">
    <font>
      <sz val="12"/>
      <color theme="1"/>
      <name val="Hackman Medium"/>
      <family val="2"/>
      <scheme val="minor"/>
    </font>
    <font>
      <sz val="11"/>
      <color theme="1"/>
      <name val="Hackman Medium"/>
      <family val="2"/>
      <scheme val="minor"/>
    </font>
    <font>
      <sz val="11"/>
      <color theme="1"/>
      <name val="Hackman Medium"/>
      <family val="2"/>
      <scheme val="minor"/>
    </font>
    <font>
      <sz val="11"/>
      <color theme="1"/>
      <name val="Hackman Medium"/>
      <family val="2"/>
      <scheme val="minor"/>
    </font>
    <font>
      <sz val="11"/>
      <color theme="1"/>
      <name val="Hackman Medium"/>
      <family val="2"/>
      <scheme val="minor"/>
    </font>
    <font>
      <sz val="12"/>
      <color theme="1"/>
      <name val="Hackman Medium"/>
      <family val="2"/>
      <scheme val="minor"/>
    </font>
    <font>
      <b/>
      <sz val="12"/>
      <color theme="0"/>
      <name val="Hackman Medium"/>
      <scheme val="minor"/>
    </font>
    <font>
      <b/>
      <sz val="10"/>
      <color theme="0"/>
      <name val="Hackman Medium"/>
      <scheme val="minor"/>
    </font>
    <font>
      <i/>
      <sz val="10"/>
      <color theme="1"/>
      <name val="Hackman Medium"/>
      <scheme val="minor"/>
    </font>
    <font>
      <b/>
      <sz val="20"/>
      <color theme="0"/>
      <name val="Hackman Medium"/>
      <scheme val="minor"/>
    </font>
    <font>
      <sz val="12"/>
      <name val="Hackman Medium"/>
      <scheme val="minor"/>
    </font>
    <font>
      <b/>
      <sz val="12"/>
      <name val="Hackman Medium"/>
      <scheme val="minor"/>
    </font>
    <font>
      <sz val="12"/>
      <color theme="0"/>
      <name val="Hackman Medium"/>
      <family val="2"/>
      <scheme val="minor"/>
    </font>
    <font>
      <sz val="12"/>
      <color rgb="FF006666"/>
      <name val="Amasis MT Pro Light"/>
      <family val="1"/>
    </font>
    <font>
      <sz val="16"/>
      <color theme="1" tint="-0.249977111117893"/>
      <name val="Amasis MT Pro Light"/>
      <family val="1"/>
    </font>
    <font>
      <sz val="16"/>
      <color rgb="FF006666"/>
      <name val="Amasis MT Pro Light"/>
      <family val="1"/>
    </font>
    <font>
      <sz val="16"/>
      <color theme="0"/>
      <name val="Hackman Medium"/>
      <family val="2"/>
      <scheme val="minor"/>
    </font>
    <font>
      <i/>
      <sz val="16"/>
      <color theme="1" tint="-0.249977111117893"/>
      <name val="Amasis MT Pro Light"/>
      <family val="1"/>
    </font>
    <font>
      <b/>
      <sz val="16"/>
      <color rgb="FF006666"/>
      <name val="Amasis MT Pro Light"/>
      <family val="1"/>
    </font>
    <font>
      <i/>
      <sz val="12"/>
      <color theme="1"/>
      <name val="Hackman Medium"/>
      <scheme val="minor"/>
    </font>
    <font>
      <b/>
      <sz val="20"/>
      <color rgb="FF33CC33"/>
      <name val="Amasis MT Pro Light"/>
      <family val="1"/>
    </font>
    <font>
      <b/>
      <sz val="20"/>
      <color rgb="FF339933"/>
      <name val="Amasis MT Pro Light"/>
      <family val="1"/>
    </font>
    <font>
      <b/>
      <sz val="20"/>
      <color rgb="FF006666"/>
      <name val="Amasis MT Pro Light"/>
      <family val="1"/>
    </font>
    <font>
      <b/>
      <sz val="20"/>
      <color rgb="FF339966"/>
      <name val="Amasis MT Pro Light"/>
      <family val="1"/>
    </font>
    <font>
      <b/>
      <sz val="20"/>
      <color theme="1"/>
      <name val="Hackman Medium"/>
      <family val="2"/>
      <scheme val="minor"/>
    </font>
    <font>
      <b/>
      <sz val="20"/>
      <color rgb="FF008080"/>
      <name val="Amasis MT Pro Light"/>
      <family val="1"/>
    </font>
    <font>
      <sz val="20"/>
      <color theme="1"/>
      <name val="Hackman Medium"/>
      <family val="2"/>
      <scheme val="minor"/>
    </font>
    <font>
      <sz val="20"/>
      <color rgb="FFFF0000"/>
      <name val="Amasis MT Pro Light"/>
      <family val="1"/>
    </font>
    <font>
      <b/>
      <u/>
      <sz val="20"/>
      <color rgb="FFFF0000"/>
      <name val="Amasis MT Pro Light"/>
      <family val="1"/>
    </font>
    <font>
      <b/>
      <sz val="12"/>
      <color theme="0"/>
      <name val="Verdana"/>
      <family val="2"/>
    </font>
    <font>
      <b/>
      <sz val="10"/>
      <color theme="0"/>
      <name val="Verdana"/>
      <family val="2"/>
    </font>
    <font>
      <b/>
      <sz val="14"/>
      <color theme="0"/>
      <name val="Verdana"/>
      <family val="2"/>
    </font>
    <font>
      <sz val="11"/>
      <color theme="1"/>
      <name val="Verdana"/>
      <family val="2"/>
    </font>
    <font>
      <sz val="12"/>
      <name val="Verdana"/>
      <family val="2"/>
    </font>
    <font>
      <b/>
      <sz val="12"/>
      <name val="Verdana"/>
      <family val="2"/>
    </font>
    <font>
      <i/>
      <sz val="12"/>
      <color theme="1"/>
      <name val="Verdana"/>
      <family val="2"/>
    </font>
    <font>
      <sz val="18"/>
      <color theme="1"/>
      <name val="Hackman Medium"/>
      <family val="2"/>
      <scheme val="minor"/>
    </font>
    <font>
      <sz val="16"/>
      <color theme="1"/>
      <name val="Hackman Medium"/>
      <family val="2"/>
      <scheme val="minor"/>
    </font>
    <font>
      <b/>
      <i/>
      <sz val="22"/>
      <color theme="1"/>
      <name val="Hackman Medium"/>
      <scheme val="minor"/>
    </font>
    <font>
      <b/>
      <sz val="12"/>
      <color theme="1"/>
      <name val="Hackman Medium"/>
      <scheme val="minor"/>
    </font>
    <font>
      <b/>
      <sz val="20"/>
      <color theme="1"/>
      <name val="Hackman Medium"/>
      <scheme val="minor"/>
    </font>
    <font>
      <b/>
      <sz val="11"/>
      <color theme="0"/>
      <name val="Hackman Medium"/>
      <family val="2"/>
      <scheme val="minor"/>
    </font>
    <font>
      <b/>
      <sz val="11"/>
      <color theme="1"/>
      <name val="Hackman Medium"/>
      <family val="2"/>
      <scheme val="minor"/>
    </font>
    <font>
      <u/>
      <sz val="11"/>
      <color theme="10"/>
      <name val="Hackman Medium"/>
      <family val="2"/>
      <scheme val="minor"/>
    </font>
    <font>
      <b/>
      <u/>
      <sz val="14"/>
      <color theme="1"/>
      <name val="Hackman Medium"/>
      <family val="2"/>
      <scheme val="minor"/>
    </font>
    <font>
      <u/>
      <sz val="14"/>
      <color theme="1"/>
      <name val="Hackman Medium"/>
      <family val="2"/>
      <scheme val="minor"/>
    </font>
    <font>
      <b/>
      <u/>
      <sz val="14"/>
      <color theme="0"/>
      <name val="Hackman Medium"/>
      <family val="2"/>
      <scheme val="minor"/>
    </font>
    <font>
      <b/>
      <sz val="20"/>
      <color theme="0"/>
      <name val="Hackman Medium"/>
      <family val="2"/>
      <scheme val="minor"/>
    </font>
    <font>
      <b/>
      <sz val="18"/>
      <color theme="1"/>
      <name val="Hackman Medium"/>
      <family val="2"/>
      <scheme val="minor"/>
    </font>
    <font>
      <b/>
      <sz val="12"/>
      <color theme="0"/>
      <name val="Hackman Medium"/>
      <family val="2"/>
      <scheme val="minor"/>
    </font>
    <font>
      <b/>
      <sz val="18"/>
      <color theme="1"/>
      <name val="Hackman Medium"/>
      <scheme val="minor"/>
    </font>
    <font>
      <b/>
      <u/>
      <sz val="20"/>
      <color theme="1"/>
      <name val="Hackman Medium"/>
      <scheme val="minor"/>
    </font>
    <font>
      <sz val="20"/>
      <color theme="1"/>
      <name val="Hackman Medium"/>
      <scheme val="minor"/>
    </font>
    <font>
      <sz val="20"/>
      <color rgb="FF33CC33"/>
      <name val="Hackman Medium"/>
      <family val="2"/>
      <scheme val="minor"/>
    </font>
    <font>
      <sz val="10"/>
      <name val="Arial"/>
      <family val="2"/>
    </font>
    <font>
      <sz val="11"/>
      <name val="Hackman Medium"/>
      <family val="2"/>
      <scheme val="minor"/>
    </font>
    <font>
      <b/>
      <sz val="12"/>
      <name val="Hackman Medium"/>
      <family val="2"/>
      <scheme val="minor"/>
    </font>
    <font>
      <sz val="11"/>
      <color rgb="FF006100"/>
      <name val="Hackman Medium"/>
      <family val="2"/>
      <scheme val="minor"/>
    </font>
    <font>
      <sz val="11"/>
      <color rgb="FFFF0000"/>
      <name val="Hackman Medium"/>
      <family val="2"/>
      <scheme val="minor"/>
    </font>
    <font>
      <sz val="11"/>
      <color theme="0"/>
      <name val="Hackman Medium"/>
      <family val="2"/>
      <scheme val="minor"/>
    </font>
    <font>
      <sz val="11"/>
      <color rgb="FF0070C0"/>
      <name val="Hackman Medium"/>
      <family val="2"/>
      <scheme val="minor"/>
    </font>
    <font>
      <b/>
      <i/>
      <sz val="16"/>
      <color rgb="FF00B0F0"/>
      <name val="Hackman Medium"/>
      <family val="2"/>
      <scheme val="minor"/>
    </font>
    <font>
      <sz val="11"/>
      <color rgb="FF00B050"/>
      <name val="Hackman Medium"/>
      <family val="2"/>
      <scheme val="minor"/>
    </font>
    <font>
      <sz val="14"/>
      <color theme="0"/>
      <name val="Hackman Medium"/>
      <family val="2"/>
      <scheme val="minor"/>
    </font>
    <font>
      <b/>
      <sz val="14"/>
      <color theme="0"/>
      <name val="Hackman Medium"/>
      <family val="2"/>
      <scheme val="minor"/>
    </font>
    <font>
      <sz val="12"/>
      <name val="Hackman Medium"/>
      <family val="2"/>
      <scheme val="minor"/>
    </font>
    <font>
      <b/>
      <sz val="11"/>
      <name val="Hackman Medium"/>
      <family val="2"/>
      <scheme val="minor"/>
    </font>
    <font>
      <sz val="24"/>
      <color theme="0"/>
      <name val="Hackman Medium"/>
      <family val="2"/>
      <scheme val="minor"/>
    </font>
    <font>
      <b/>
      <sz val="11"/>
      <name val="Verdana"/>
      <family val="2"/>
    </font>
    <font>
      <b/>
      <sz val="14"/>
      <name val="Verdana"/>
      <family val="2"/>
    </font>
    <font>
      <b/>
      <sz val="11"/>
      <color theme="0"/>
      <name val="Verdana"/>
      <family val="2"/>
    </font>
    <font>
      <b/>
      <sz val="10"/>
      <name val="Verdana"/>
      <family val="2"/>
    </font>
    <font>
      <b/>
      <sz val="10"/>
      <name val="Hackman Medium"/>
      <scheme val="minor"/>
    </font>
    <font>
      <b/>
      <sz val="11"/>
      <name val="Hackman Medium"/>
      <scheme val="minor"/>
    </font>
    <font>
      <i/>
      <sz val="11"/>
      <color rgb="FFC00000"/>
      <name val="Hackman Medium"/>
      <scheme val="minor"/>
    </font>
  </fonts>
  <fills count="31">
    <fill>
      <patternFill patternType="none"/>
    </fill>
    <fill>
      <patternFill patternType="gray125"/>
    </fill>
    <fill>
      <patternFill patternType="solid">
        <fgColor theme="9" tint="0.59999389629810485"/>
        <bgColor indexed="64"/>
      </patternFill>
    </fill>
    <fill>
      <patternFill patternType="solid">
        <fgColor theme="9" tint="-0.249977111117893"/>
        <bgColor indexed="64"/>
      </patternFill>
    </fill>
    <fill>
      <patternFill patternType="solid">
        <fgColor rgb="FF736860"/>
        <bgColor indexed="64"/>
      </patternFill>
    </fill>
    <fill>
      <patternFill patternType="solid">
        <fgColor rgb="FF006666"/>
        <bgColor indexed="64"/>
      </patternFill>
    </fill>
    <fill>
      <patternFill patternType="solid">
        <fgColor theme="0"/>
        <bgColor indexed="64"/>
      </patternFill>
    </fill>
    <fill>
      <patternFill patternType="solid">
        <fgColor rgb="FFC00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1" tint="0.39997558519241921"/>
        <bgColor indexed="64"/>
      </patternFill>
    </fill>
    <fill>
      <patternFill patternType="solid">
        <fgColor theme="1" tint="-0.249977111117893"/>
        <bgColor indexed="64"/>
      </patternFill>
    </fill>
    <fill>
      <patternFill patternType="solid">
        <fgColor rgb="FF00B050"/>
        <bgColor indexed="64"/>
      </patternFill>
    </fill>
    <fill>
      <patternFill patternType="solid">
        <fgColor rgb="FFFFFF00"/>
        <bgColor indexed="64"/>
      </patternFill>
    </fill>
    <fill>
      <patternFill patternType="solid">
        <fgColor rgb="FF0070C0"/>
        <bgColor indexed="64"/>
      </patternFill>
    </fill>
    <fill>
      <patternFill patternType="solid">
        <fgColor rgb="FFC6EFCE"/>
      </patternFill>
    </fill>
    <fill>
      <patternFill patternType="solid">
        <fgColor theme="7"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CCECFF"/>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92D050"/>
        <bgColor indexed="64"/>
      </patternFill>
    </fill>
    <fill>
      <patternFill patternType="solid">
        <fgColor rgb="FF339933"/>
        <bgColor indexed="64"/>
      </patternFill>
    </fill>
    <fill>
      <patternFill patternType="solid">
        <fgColor theme="4" tint="0.39997558519241921"/>
        <bgColor indexed="64"/>
      </patternFill>
    </fill>
    <fill>
      <patternFill patternType="solid">
        <fgColor theme="1" tint="-0.499984740745262"/>
        <bgColor indexed="64"/>
      </patternFill>
    </fill>
    <fill>
      <patternFill patternType="solid">
        <fgColor theme="6" tint="0.79998168889431442"/>
        <bgColor indexed="64"/>
      </patternFill>
    </fill>
  </fills>
  <borders count="55">
    <border>
      <left/>
      <right/>
      <top/>
      <bottom/>
      <diagonal/>
    </border>
    <border>
      <left/>
      <right/>
      <top/>
      <bottom style="medium">
        <color indexed="64"/>
      </bottom>
      <diagonal/>
    </border>
    <border>
      <left/>
      <right/>
      <top style="medium">
        <color indexed="64"/>
      </top>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right/>
      <top/>
      <bottom style="medium">
        <color theme="0" tint="-0.499984740745262"/>
      </bottom>
      <diagonal/>
    </border>
    <border>
      <left/>
      <right style="thick">
        <color theme="0" tint="-0.499984740745262"/>
      </right>
      <top/>
      <bottom style="medium">
        <color theme="0" tint="-0.499984740745262"/>
      </bottom>
      <diagonal/>
    </border>
    <border>
      <left/>
      <right style="thin">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ck">
        <color auto="1"/>
      </right>
      <top/>
      <bottom style="medium">
        <color indexed="64"/>
      </bottom>
      <diagonal/>
    </border>
    <border>
      <left style="thick">
        <color auto="1"/>
      </left>
      <right/>
      <top/>
      <bottom style="medium">
        <color indexed="64"/>
      </bottom>
      <diagonal/>
    </border>
    <border>
      <left/>
      <right style="thick">
        <color auto="1"/>
      </right>
      <top/>
      <bottom/>
      <diagonal/>
    </border>
    <border>
      <left style="thick">
        <color auto="1"/>
      </left>
      <right/>
      <top/>
      <bottom/>
      <diagonal/>
    </border>
    <border>
      <left/>
      <right style="thick">
        <color auto="1"/>
      </right>
      <top style="thick">
        <color auto="1"/>
      </top>
      <bottom/>
      <diagonal/>
    </border>
    <border>
      <left/>
      <right/>
      <top style="thick">
        <color auto="1"/>
      </top>
      <bottom/>
      <diagonal/>
    </border>
    <border>
      <left style="thick">
        <color auto="1"/>
      </left>
      <right/>
      <top style="thick">
        <color auto="1"/>
      </top>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right style="thick">
        <color indexed="64"/>
      </right>
      <top/>
      <bottom style="thick">
        <color indexed="64"/>
      </bottom>
      <diagonal/>
    </border>
    <border>
      <left/>
      <right/>
      <top/>
      <bottom style="thick">
        <color indexed="64"/>
      </bottom>
      <diagonal/>
    </border>
    <border>
      <left style="thick">
        <color auto="1"/>
      </left>
      <right/>
      <top/>
      <bottom style="thick">
        <color auto="1"/>
      </bottom>
      <diagonal/>
    </border>
    <border>
      <left/>
      <right style="thick">
        <color indexed="64"/>
      </right>
      <top/>
      <bottom style="thin">
        <color indexed="64"/>
      </bottom>
      <diagonal/>
    </border>
    <border>
      <left style="thick">
        <color indexed="64"/>
      </left>
      <right/>
      <top/>
      <bottom style="thin">
        <color indexed="64"/>
      </bottom>
      <diagonal/>
    </border>
    <border>
      <left style="medium">
        <color indexed="64"/>
      </left>
      <right style="thick">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style="thick">
        <color indexed="64"/>
      </left>
      <right style="medium">
        <color indexed="64"/>
      </right>
      <top/>
      <bottom style="thin">
        <color indexed="64"/>
      </bottom>
      <diagonal/>
    </border>
    <border>
      <left style="medium">
        <color indexed="64"/>
      </left>
      <right style="thick">
        <color indexed="64"/>
      </right>
      <top/>
      <bottom style="medium">
        <color indexed="64"/>
      </bottom>
      <diagonal/>
    </border>
    <border>
      <left style="thick">
        <color auto="1"/>
      </left>
      <right style="thick">
        <color auto="1"/>
      </right>
      <top/>
      <bottom/>
      <diagonal/>
    </border>
    <border>
      <left/>
      <right/>
      <top/>
      <bottom style="thin">
        <color indexed="64"/>
      </bottom>
      <diagonal/>
    </border>
    <border>
      <left style="thick">
        <color theme="0" tint="-0.499984740745262"/>
      </left>
      <right style="thin">
        <color indexed="64"/>
      </right>
      <top/>
      <bottom style="medium">
        <color theme="0" tint="-0.499984740745262"/>
      </bottom>
      <diagonal/>
    </border>
    <border>
      <left style="thick">
        <color theme="0" tint="-0.499984740745262"/>
      </left>
      <right style="thin">
        <color indexed="64"/>
      </right>
      <top/>
      <bottom/>
      <diagonal/>
    </border>
    <border>
      <left style="thick">
        <color theme="0" tint="-0.499984740745262"/>
      </left>
      <right style="medium">
        <color indexed="64"/>
      </right>
      <top/>
      <bottom/>
      <diagonal/>
    </border>
    <border>
      <left/>
      <right style="thin">
        <color indexed="64"/>
      </right>
      <top/>
      <bottom style="medium">
        <color indexed="64"/>
      </bottom>
      <diagonal/>
    </border>
  </borders>
  <cellStyleXfs count="14">
    <xf numFmtId="0" fontId="0"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4" fillId="0" borderId="0"/>
    <xf numFmtId="0" fontId="43" fillId="0" borderId="0" applyNumberForma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54" fillId="0" borderId="0"/>
    <xf numFmtId="0" fontId="57" fillId="18" borderId="0" applyNumberFormat="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cellStyleXfs>
  <cellXfs count="460">
    <xf numFmtId="0" fontId="0" fillId="0" borderId="0" xfId="0"/>
    <xf numFmtId="0" fontId="0" fillId="0" borderId="0" xfId="0" applyProtection="1">
      <protection hidden="1"/>
    </xf>
    <xf numFmtId="1" fontId="0" fillId="0" borderId="0" xfId="0" applyNumberFormat="1" applyProtection="1">
      <protection hidden="1"/>
    </xf>
    <xf numFmtId="0" fontId="9" fillId="0" borderId="0" xfId="0" applyFont="1" applyAlignment="1">
      <alignment horizontal="center"/>
    </xf>
    <xf numFmtId="0" fontId="8" fillId="0" borderId="0" xfId="0" applyFont="1" applyAlignment="1">
      <alignment vertical="top"/>
    </xf>
    <xf numFmtId="0" fontId="6" fillId="3" borderId="0" xfId="0" applyFont="1" applyFill="1" applyAlignment="1">
      <alignment vertical="center" wrapText="1"/>
    </xf>
    <xf numFmtId="0" fontId="6" fillId="4" borderId="0" xfId="0" applyFont="1" applyFill="1" applyAlignment="1">
      <alignment vertical="center"/>
    </xf>
    <xf numFmtId="1" fontId="0" fillId="4" borderId="0" xfId="0" applyNumberFormat="1" applyFill="1"/>
    <xf numFmtId="164" fontId="0" fillId="4" borderId="0" xfId="0" applyNumberFormat="1" applyFill="1"/>
    <xf numFmtId="0" fontId="0" fillId="4" borderId="0" xfId="0" applyFill="1"/>
    <xf numFmtId="2" fontId="0" fillId="4" borderId="0" xfId="0" applyNumberFormat="1" applyFill="1"/>
    <xf numFmtId="0" fontId="6" fillId="3" borderId="0" xfId="0" applyFont="1" applyFill="1" applyAlignment="1">
      <alignment vertical="center"/>
    </xf>
    <xf numFmtId="1" fontId="11" fillId="2" borderId="0" xfId="0" applyNumberFormat="1" applyFont="1" applyFill="1" applyAlignment="1">
      <alignment horizontal="center" vertical="center"/>
    </xf>
    <xf numFmtId="1" fontId="10" fillId="2" borderId="0" xfId="0" applyNumberFormat="1" applyFont="1" applyFill="1" applyAlignment="1">
      <alignment horizontal="center" vertical="center"/>
    </xf>
    <xf numFmtId="0" fontId="13" fillId="0" borderId="0" xfId="0" applyFont="1" applyAlignment="1">
      <alignment horizontal="left"/>
    </xf>
    <xf numFmtId="0" fontId="0" fillId="6" borderId="0" xfId="0" applyFill="1"/>
    <xf numFmtId="0" fontId="12" fillId="6" borderId="0" xfId="0" applyFont="1" applyFill="1" applyAlignment="1">
      <alignment horizontal="center"/>
    </xf>
    <xf numFmtId="0" fontId="13" fillId="0" borderId="0" xfId="0" applyFont="1" applyAlignment="1">
      <alignment horizontal="left" wrapText="1"/>
    </xf>
    <xf numFmtId="0" fontId="15" fillId="0" borderId="0" xfId="0" applyFont="1" applyAlignment="1">
      <alignment vertical="top" wrapText="1"/>
    </xf>
    <xf numFmtId="167" fontId="10" fillId="2" borderId="0" xfId="0" applyNumberFormat="1" applyFont="1" applyFill="1" applyAlignment="1">
      <alignment horizontal="center" vertical="center"/>
    </xf>
    <xf numFmtId="167" fontId="11" fillId="2" borderId="0" xfId="0" applyNumberFormat="1" applyFont="1" applyFill="1" applyAlignment="1">
      <alignment horizontal="center" vertical="center"/>
    </xf>
    <xf numFmtId="0" fontId="10" fillId="2" borderId="0" xfId="0" applyFont="1" applyFill="1" applyAlignment="1">
      <alignment horizontal="center" vertical="center"/>
    </xf>
    <xf numFmtId="166" fontId="10" fillId="2" borderId="0" xfId="0" applyNumberFormat="1" applyFont="1" applyFill="1" applyAlignment="1">
      <alignment horizontal="center" vertical="center"/>
    </xf>
    <xf numFmtId="167" fontId="10" fillId="2" borderId="0" xfId="2" applyNumberFormat="1" applyFont="1" applyFill="1" applyBorder="1" applyAlignment="1">
      <alignment horizontal="center" vertical="center"/>
    </xf>
    <xf numFmtId="1" fontId="10" fillId="2" borderId="1" xfId="0" applyNumberFormat="1" applyFont="1" applyFill="1" applyBorder="1" applyAlignment="1">
      <alignment horizontal="center"/>
    </xf>
    <xf numFmtId="0" fontId="0" fillId="4" borderId="1" xfId="0" applyFill="1" applyBorder="1"/>
    <xf numFmtId="0" fontId="20" fillId="0" borderId="0" xfId="0" applyFont="1" applyAlignment="1">
      <alignment horizontal="left"/>
    </xf>
    <xf numFmtId="1" fontId="20" fillId="0" borderId="0" xfId="0" applyNumberFormat="1" applyFont="1" applyAlignment="1">
      <alignment horizontal="left"/>
    </xf>
    <xf numFmtId="0" fontId="21" fillId="0" borderId="0" xfId="0" applyFont="1" applyAlignment="1">
      <alignment horizontal="left"/>
    </xf>
    <xf numFmtId="0" fontId="22" fillId="0" borderId="0" xfId="0" applyFont="1" applyAlignment="1">
      <alignment horizontal="left"/>
    </xf>
    <xf numFmtId="0" fontId="23" fillId="0" borderId="0" xfId="0" applyFont="1" applyAlignment="1">
      <alignment horizontal="left"/>
    </xf>
    <xf numFmtId="0" fontId="24" fillId="0" borderId="0" xfId="0" applyFont="1"/>
    <xf numFmtId="0" fontId="25" fillId="0" borderId="0" xfId="0" applyFont="1" applyAlignment="1">
      <alignment horizontal="left"/>
    </xf>
    <xf numFmtId="2" fontId="24" fillId="0" borderId="0" xfId="0" applyNumberFormat="1" applyFont="1"/>
    <xf numFmtId="0" fontId="26" fillId="0" borderId="0" xfId="0" applyFont="1"/>
    <xf numFmtId="167" fontId="28" fillId="0" borderId="0" xfId="0" applyNumberFormat="1" applyFont="1" applyAlignment="1">
      <alignment horizontal="left"/>
    </xf>
    <xf numFmtId="0" fontId="10" fillId="0" borderId="0" xfId="0" applyFont="1" applyAlignment="1" applyProtection="1">
      <alignment horizontal="center" vertical="center"/>
      <protection locked="0"/>
    </xf>
    <xf numFmtId="167" fontId="10" fillId="0" borderId="0" xfId="1" applyNumberFormat="1" applyFont="1" applyFill="1" applyBorder="1" applyAlignment="1" applyProtection="1">
      <alignment horizontal="center" vertical="center"/>
      <protection locked="0"/>
    </xf>
    <xf numFmtId="1" fontId="10" fillId="0" borderId="1" xfId="1" applyNumberFormat="1" applyFont="1" applyFill="1" applyBorder="1" applyAlignment="1" applyProtection="1">
      <alignment horizontal="center"/>
      <protection locked="0"/>
    </xf>
    <xf numFmtId="0" fontId="8" fillId="0" borderId="3" xfId="0" applyFont="1" applyBorder="1" applyAlignment="1">
      <alignment vertical="top"/>
    </xf>
    <xf numFmtId="0" fontId="0" fillId="0" borderId="4" xfId="0" applyBorder="1"/>
    <xf numFmtId="0" fontId="8" fillId="0" borderId="6" xfId="0" applyFont="1" applyBorder="1" applyAlignment="1">
      <alignment vertical="top"/>
    </xf>
    <xf numFmtId="0" fontId="29" fillId="10" borderId="6" xfId="0" applyFont="1" applyFill="1" applyBorder="1" applyAlignment="1">
      <alignment vertical="center" wrapText="1"/>
    </xf>
    <xf numFmtId="0" fontId="29" fillId="10" borderId="6" xfId="0" applyFont="1" applyFill="1" applyBorder="1" applyAlignment="1">
      <alignment vertical="center"/>
    </xf>
    <xf numFmtId="0" fontId="0" fillId="0" borderId="6" xfId="0" applyBorder="1"/>
    <xf numFmtId="0" fontId="0" fillId="0" borderId="7" xfId="0" applyBorder="1"/>
    <xf numFmtId="0" fontId="0" fillId="0" borderId="5" xfId="0" applyBorder="1"/>
    <xf numFmtId="0" fontId="4" fillId="0" borderId="0" xfId="4"/>
    <xf numFmtId="0" fontId="4" fillId="0" borderId="0" xfId="4" applyAlignment="1">
      <alignment horizontal="center" vertical="center"/>
    </xf>
    <xf numFmtId="167" fontId="4" fillId="0" borderId="0" xfId="4" applyNumberFormat="1" applyAlignment="1">
      <alignment horizontal="center" vertical="center"/>
    </xf>
    <xf numFmtId="1" fontId="4" fillId="0" borderId="0" xfId="4" applyNumberFormat="1" applyAlignment="1">
      <alignment horizontal="center" vertical="center"/>
    </xf>
    <xf numFmtId="49" fontId="4" fillId="0" borderId="0" xfId="4" applyNumberFormat="1"/>
    <xf numFmtId="0" fontId="43" fillId="0" borderId="0" xfId="5"/>
    <xf numFmtId="0" fontId="43" fillId="0" borderId="0" xfId="5" applyAlignment="1">
      <alignment horizontal="center" vertical="center"/>
    </xf>
    <xf numFmtId="0" fontId="41" fillId="0" borderId="0" xfId="4" applyFont="1" applyAlignment="1">
      <alignment horizontal="center" vertical="center"/>
    </xf>
    <xf numFmtId="0" fontId="4" fillId="0" borderId="0" xfId="4" applyAlignment="1">
      <alignment vertical="center"/>
    </xf>
    <xf numFmtId="0" fontId="42" fillId="0" borderId="0" xfId="4" applyFont="1" applyAlignment="1">
      <alignment horizontal="center" vertical="center"/>
    </xf>
    <xf numFmtId="0" fontId="44" fillId="0" borderId="0" xfId="4" applyFont="1" applyAlignment="1" applyProtection="1">
      <alignment horizontal="center" vertical="center"/>
      <protection locked="0"/>
    </xf>
    <xf numFmtId="0" fontId="46" fillId="0" borderId="0" xfId="4" applyFont="1" applyAlignment="1" applyProtection="1">
      <alignment horizontal="center" vertical="center"/>
      <protection locked="0"/>
    </xf>
    <xf numFmtId="0" fontId="42" fillId="0" borderId="0" xfId="4" applyFont="1" applyAlignment="1" applyProtection="1">
      <alignment horizontal="center" vertical="center"/>
      <protection locked="0"/>
    </xf>
    <xf numFmtId="0" fontId="41" fillId="0" borderId="0" xfId="4" applyFont="1" applyAlignment="1" applyProtection="1">
      <alignment horizontal="center" vertical="center"/>
      <protection locked="0"/>
    </xf>
    <xf numFmtId="0" fontId="4" fillId="0" borderId="0" xfId="4" applyProtection="1">
      <protection locked="0"/>
    </xf>
    <xf numFmtId="0" fontId="43" fillId="0" borderId="0" xfId="5" applyAlignment="1" applyProtection="1">
      <alignment horizontal="center" vertical="center"/>
      <protection locked="0"/>
    </xf>
    <xf numFmtId="0" fontId="4" fillId="0" borderId="0" xfId="4" applyAlignment="1" applyProtection="1">
      <alignment horizontal="center" vertical="center"/>
      <protection locked="0"/>
    </xf>
    <xf numFmtId="0" fontId="43" fillId="0" borderId="0" xfId="5" applyProtection="1">
      <protection locked="0"/>
    </xf>
    <xf numFmtId="0" fontId="0" fillId="0" borderId="28" xfId="0" applyBorder="1"/>
    <xf numFmtId="0" fontId="0" fillId="0" borderId="2" xfId="0" applyBorder="1"/>
    <xf numFmtId="0" fontId="0" fillId="0" borderId="27" xfId="0" applyBorder="1"/>
    <xf numFmtId="0" fontId="0" fillId="0" borderId="30" xfId="0" applyBorder="1"/>
    <xf numFmtId="0" fontId="36" fillId="0" borderId="0" xfId="0" applyFont="1" applyAlignment="1">
      <alignment horizontal="center"/>
    </xf>
    <xf numFmtId="0" fontId="36" fillId="0" borderId="0" xfId="0" applyFont="1"/>
    <xf numFmtId="0" fontId="0" fillId="0" borderId="29" xfId="0" applyBorder="1"/>
    <xf numFmtId="0" fontId="37" fillId="0" borderId="0" xfId="0" applyFont="1"/>
    <xf numFmtId="0" fontId="26" fillId="0" borderId="0" xfId="0" applyFont="1" applyAlignment="1">
      <alignment horizontal="center"/>
    </xf>
    <xf numFmtId="0" fontId="0" fillId="0" borderId="0" xfId="0" applyAlignment="1">
      <alignment horizontal="center"/>
    </xf>
    <xf numFmtId="0" fontId="0" fillId="0" borderId="26" xfId="0" applyBorder="1"/>
    <xf numFmtId="0" fontId="0" fillId="0" borderId="1" xfId="0" applyBorder="1"/>
    <xf numFmtId="0" fontId="0" fillId="0" borderId="25" xfId="0" applyBorder="1"/>
    <xf numFmtId="1" fontId="36" fillId="0" borderId="0" xfId="0" applyNumberFormat="1" applyFont="1" applyAlignment="1">
      <alignment horizontal="center"/>
    </xf>
    <xf numFmtId="1" fontId="51" fillId="0" borderId="0" xfId="0" applyNumberFormat="1" applyFont="1" applyAlignment="1">
      <alignment horizontal="center" vertical="center"/>
    </xf>
    <xf numFmtId="0" fontId="52" fillId="0" borderId="0" xfId="0" applyFont="1"/>
    <xf numFmtId="1" fontId="53" fillId="0" borderId="0" xfId="0" applyNumberFormat="1" applyFont="1" applyAlignment="1">
      <alignment horizontal="center"/>
    </xf>
    <xf numFmtId="1" fontId="47" fillId="6" borderId="0" xfId="4" applyNumberFormat="1" applyFont="1" applyFill="1" applyAlignment="1">
      <alignment horizontal="center" vertical="center"/>
    </xf>
    <xf numFmtId="9" fontId="0" fillId="0" borderId="0" xfId="3" applyFont="1"/>
    <xf numFmtId="0" fontId="0" fillId="0" borderId="0" xfId="1" applyNumberFormat="1" applyFont="1"/>
    <xf numFmtId="0" fontId="55" fillId="6" borderId="34" xfId="9" applyFont="1" applyFill="1" applyBorder="1" applyAlignment="1">
      <alignment horizontal="center" vertical="center" wrapText="1"/>
    </xf>
    <xf numFmtId="0" fontId="55" fillId="6" borderId="34" xfId="9" applyFont="1" applyFill="1" applyBorder="1" applyAlignment="1">
      <alignment horizontal="center" vertical="center"/>
    </xf>
    <xf numFmtId="0" fontId="55" fillId="6" borderId="35" xfId="9" applyFont="1" applyFill="1" applyBorder="1" applyAlignment="1">
      <alignment horizontal="center" vertical="center"/>
    </xf>
    <xf numFmtId="0" fontId="55" fillId="6" borderId="36" xfId="9" applyFont="1" applyFill="1" applyBorder="1" applyAlignment="1">
      <alignment horizontal="center" vertical="center"/>
    </xf>
    <xf numFmtId="0" fontId="55" fillId="6" borderId="37" xfId="9" applyFont="1" applyFill="1" applyBorder="1" applyAlignment="1">
      <alignment horizontal="center" vertical="center"/>
    </xf>
    <xf numFmtId="0" fontId="55" fillId="6" borderId="37" xfId="9" applyFont="1" applyFill="1" applyBorder="1" applyAlignment="1">
      <alignment horizontal="center" vertical="center" wrapText="1"/>
    </xf>
    <xf numFmtId="0" fontId="55" fillId="6" borderId="0" xfId="9" applyFont="1" applyFill="1" applyAlignment="1">
      <alignment horizontal="center" vertical="center" wrapText="1"/>
    </xf>
    <xf numFmtId="0" fontId="55" fillId="6" borderId="0" xfId="9" applyFont="1" applyFill="1" applyAlignment="1">
      <alignment horizontal="center" vertical="center"/>
    </xf>
    <xf numFmtId="0" fontId="55" fillId="0" borderId="34" xfId="9" applyFont="1" applyBorder="1" applyAlignment="1">
      <alignment horizontal="center" vertical="center" wrapText="1"/>
    </xf>
    <xf numFmtId="1" fontId="0" fillId="0" borderId="0" xfId="3" applyNumberFormat="1" applyFont="1"/>
    <xf numFmtId="0" fontId="42" fillId="16" borderId="33" xfId="0" applyFont="1" applyFill="1" applyBorder="1" applyAlignment="1">
      <alignment horizontal="center"/>
    </xf>
    <xf numFmtId="0" fontId="42" fillId="16" borderId="24" xfId="0" applyFont="1" applyFill="1" applyBorder="1"/>
    <xf numFmtId="0" fontId="42" fillId="16" borderId="24" xfId="0" applyFont="1" applyFill="1" applyBorder="1" applyAlignment="1">
      <alignment horizontal="center"/>
    </xf>
    <xf numFmtId="0" fontId="0" fillId="0" borderId="15" xfId="0" applyBorder="1"/>
    <xf numFmtId="0" fontId="0" fillId="0" borderId="15" xfId="0" applyBorder="1" applyAlignment="1">
      <alignment horizontal="center"/>
    </xf>
    <xf numFmtId="0" fontId="0" fillId="0" borderId="38" xfId="0" applyBorder="1"/>
    <xf numFmtId="0" fontId="0" fillId="0" borderId="38" xfId="0" applyBorder="1" applyAlignment="1">
      <alignment horizontal="center"/>
    </xf>
    <xf numFmtId="16" fontId="0" fillId="0" borderId="38" xfId="0" applyNumberFormat="1" applyBorder="1" applyAlignment="1">
      <alignment horizontal="center"/>
    </xf>
    <xf numFmtId="0" fontId="0" fillId="0" borderId="14" xfId="0" applyBorder="1"/>
    <xf numFmtId="0" fontId="0" fillId="0" borderId="14" xfId="0" applyBorder="1" applyAlignment="1">
      <alignment horizontal="center"/>
    </xf>
    <xf numFmtId="1" fontId="0" fillId="0" borderId="38" xfId="0" applyNumberFormat="1" applyBorder="1" applyAlignment="1">
      <alignment horizontal="center"/>
    </xf>
    <xf numFmtId="0" fontId="0" fillId="0" borderId="0" xfId="0" applyAlignment="1">
      <alignment horizontal="right"/>
    </xf>
    <xf numFmtId="1" fontId="0" fillId="0" borderId="0" xfId="0" applyNumberFormat="1" applyAlignment="1">
      <alignment horizontal="right"/>
    </xf>
    <xf numFmtId="0" fontId="0" fillId="6" borderId="0" xfId="0" applyFill="1" applyAlignment="1">
      <alignment horizontal="center" vertical="center"/>
    </xf>
    <xf numFmtId="0" fontId="0" fillId="15" borderId="31" xfId="0" applyFill="1" applyBorder="1"/>
    <xf numFmtId="0" fontId="0" fillId="15" borderId="32" xfId="0" applyFill="1" applyBorder="1"/>
    <xf numFmtId="0" fontId="0" fillId="15" borderId="33" xfId="0" applyFill="1" applyBorder="1"/>
    <xf numFmtId="2" fontId="0" fillId="16" borderId="34" xfId="0" applyNumberFormat="1" applyFill="1" applyBorder="1" applyAlignment="1">
      <alignment horizontal="center"/>
    </xf>
    <xf numFmtId="2" fontId="0" fillId="0" borderId="34" xfId="0" applyNumberFormat="1" applyBorder="1" applyAlignment="1">
      <alignment horizontal="center"/>
    </xf>
    <xf numFmtId="2" fontId="0" fillId="0" borderId="34" xfId="0" applyNumberFormat="1" applyBorder="1" applyAlignment="1">
      <alignment horizontal="center" vertical="center"/>
    </xf>
    <xf numFmtId="2" fontId="0" fillId="0" borderId="0" xfId="0" applyNumberFormat="1" applyAlignment="1">
      <alignment horizontal="center"/>
    </xf>
    <xf numFmtId="2" fontId="0" fillId="0" borderId="0" xfId="0" applyNumberFormat="1" applyAlignment="1">
      <alignment horizontal="center" vertical="center"/>
    </xf>
    <xf numFmtId="9" fontId="0" fillId="0" borderId="0" xfId="3" applyFont="1" applyAlignment="1">
      <alignment horizontal="center"/>
    </xf>
    <xf numFmtId="172" fontId="0" fillId="16" borderId="34" xfId="0" applyNumberFormat="1" applyFill="1" applyBorder="1" applyAlignment="1">
      <alignment horizontal="center"/>
    </xf>
    <xf numFmtId="2" fontId="0" fillId="16" borderId="34" xfId="0" applyNumberFormat="1" applyFill="1" applyBorder="1" applyAlignment="1">
      <alignment horizontal="center" vertical="center"/>
    </xf>
    <xf numFmtId="2" fontId="0" fillId="16" borderId="34" xfId="0" quotePrefix="1" applyNumberFormat="1" applyFill="1" applyBorder="1" applyAlignment="1">
      <alignment horizontal="center"/>
    </xf>
    <xf numFmtId="2" fontId="0" fillId="0" borderId="34" xfId="0" quotePrefix="1" applyNumberFormat="1" applyBorder="1" applyAlignment="1">
      <alignment horizontal="center"/>
    </xf>
    <xf numFmtId="2" fontId="0" fillId="0" borderId="34" xfId="0" quotePrefix="1" applyNumberFormat="1" applyBorder="1" applyAlignment="1">
      <alignment horizontal="center" vertical="center"/>
    </xf>
    <xf numFmtId="2" fontId="0" fillId="0" borderId="0" xfId="0" applyNumberFormat="1"/>
    <xf numFmtId="172" fontId="0" fillId="0" borderId="0" xfId="0" applyNumberFormat="1"/>
    <xf numFmtId="0" fontId="3" fillId="0" borderId="0" xfId="11"/>
    <xf numFmtId="0" fontId="3" fillId="0" borderId="0" xfId="11" applyAlignment="1">
      <alignment horizontal="center"/>
    </xf>
    <xf numFmtId="0" fontId="3" fillId="6" borderId="0" xfId="11" applyFill="1"/>
    <xf numFmtId="0" fontId="3" fillId="6" borderId="0" xfId="11" applyFill="1" applyAlignment="1">
      <alignment horizontal="center"/>
    </xf>
    <xf numFmtId="0" fontId="3" fillId="7" borderId="40" xfId="11" applyFill="1" applyBorder="1" applyAlignment="1">
      <alignment horizontal="center"/>
    </xf>
    <xf numFmtId="0" fontId="3" fillId="7" borderId="41" xfId="11" applyFill="1" applyBorder="1"/>
    <xf numFmtId="0" fontId="3" fillId="7" borderId="19" xfId="11" applyFill="1" applyBorder="1"/>
    <xf numFmtId="0" fontId="3" fillId="6" borderId="18" xfId="11" applyFill="1" applyBorder="1" applyAlignment="1">
      <alignment horizontal="center"/>
    </xf>
    <xf numFmtId="0" fontId="3" fillId="6" borderId="19" xfId="11" applyFill="1" applyBorder="1" applyAlignment="1">
      <alignment horizontal="center"/>
    </xf>
    <xf numFmtId="167" fontId="0" fillId="6" borderId="42" xfId="12" applyNumberFormat="1" applyFont="1" applyFill="1" applyBorder="1" applyAlignment="1">
      <alignment horizontal="center"/>
    </xf>
    <xf numFmtId="0" fontId="3" fillId="6" borderId="43" xfId="11" applyFill="1" applyBorder="1" applyAlignment="1">
      <alignment horizontal="center"/>
    </xf>
    <xf numFmtId="0" fontId="3" fillId="6" borderId="19" xfId="11" applyFill="1" applyBorder="1" applyAlignment="1">
      <alignment horizontal="center" wrapText="1"/>
    </xf>
    <xf numFmtId="1" fontId="62" fillId="6" borderId="18" xfId="11" applyNumberFormat="1" applyFont="1" applyFill="1" applyBorder="1" applyAlignment="1">
      <alignment horizontal="center"/>
    </xf>
    <xf numFmtId="3" fontId="3" fillId="6" borderId="18" xfId="11" applyNumberFormat="1" applyFill="1" applyBorder="1" applyAlignment="1">
      <alignment horizontal="center"/>
    </xf>
    <xf numFmtId="0" fontId="59" fillId="6" borderId="0" xfId="11" applyFont="1" applyFill="1"/>
    <xf numFmtId="0" fontId="3" fillId="19" borderId="19" xfId="11" applyFill="1" applyBorder="1" applyAlignment="1">
      <alignment horizontal="center"/>
    </xf>
    <xf numFmtId="167" fontId="62" fillId="6" borderId="42" xfId="12" applyNumberFormat="1" applyFont="1" applyFill="1" applyBorder="1" applyAlignment="1">
      <alignment horizontal="center"/>
    </xf>
    <xf numFmtId="168" fontId="60" fillId="6" borderId="42" xfId="12" applyNumberFormat="1" applyFont="1" applyFill="1" applyBorder="1" applyAlignment="1">
      <alignment horizontal="center"/>
    </xf>
    <xf numFmtId="167" fontId="0" fillId="2" borderId="44" xfId="12" applyNumberFormat="1" applyFont="1" applyFill="1" applyBorder="1" applyAlignment="1" applyProtection="1">
      <alignment horizontal="center"/>
      <protection locked="0"/>
    </xf>
    <xf numFmtId="0" fontId="3" fillId="2" borderId="19" xfId="11" applyFill="1" applyBorder="1" applyAlignment="1">
      <alignment horizontal="center"/>
    </xf>
    <xf numFmtId="3" fontId="3" fillId="22" borderId="44" xfId="11" applyNumberFormat="1" applyFill="1" applyBorder="1" applyAlignment="1" applyProtection="1">
      <alignment horizontal="center"/>
      <protection locked="0"/>
    </xf>
    <xf numFmtId="0" fontId="3" fillId="22" borderId="19" xfId="11" applyFill="1" applyBorder="1" applyAlignment="1">
      <alignment horizontal="center"/>
    </xf>
    <xf numFmtId="0" fontId="3" fillId="23" borderId="44" xfId="11" applyFill="1" applyBorder="1" applyAlignment="1" applyProtection="1">
      <alignment horizontal="center"/>
      <protection locked="0"/>
    </xf>
    <xf numFmtId="0" fontId="3" fillId="23" borderId="19" xfId="11" applyFill="1" applyBorder="1" applyAlignment="1">
      <alignment horizontal="center"/>
    </xf>
    <xf numFmtId="3" fontId="3" fillId="24" borderId="44" xfId="11" applyNumberFormat="1" applyFill="1" applyBorder="1" applyAlignment="1" applyProtection="1">
      <alignment horizontal="center"/>
      <protection locked="0"/>
    </xf>
    <xf numFmtId="0" fontId="3" fillId="24" borderId="19" xfId="11" applyFill="1" applyBorder="1" applyAlignment="1">
      <alignment horizontal="center"/>
    </xf>
    <xf numFmtId="0" fontId="3" fillId="17" borderId="18" xfId="11" applyFill="1" applyBorder="1" applyAlignment="1">
      <alignment horizontal="center"/>
    </xf>
    <xf numFmtId="0" fontId="3" fillId="17" borderId="0" xfId="11" applyFill="1" applyAlignment="1">
      <alignment horizontal="center"/>
    </xf>
    <xf numFmtId="0" fontId="3" fillId="17" borderId="19" xfId="11" applyFill="1" applyBorder="1" applyAlignment="1">
      <alignment horizontal="center"/>
    </xf>
    <xf numFmtId="0" fontId="3" fillId="6" borderId="18" xfId="11" applyFill="1" applyBorder="1"/>
    <xf numFmtId="167" fontId="57" fillId="6" borderId="42" xfId="10" applyNumberFormat="1" applyFill="1" applyBorder="1" applyAlignment="1">
      <alignment horizontal="center"/>
    </xf>
    <xf numFmtId="0" fontId="3" fillId="25" borderId="34" xfId="11" applyFill="1" applyBorder="1"/>
    <xf numFmtId="0" fontId="3" fillId="25" borderId="36" xfId="11" applyFill="1" applyBorder="1"/>
    <xf numFmtId="167" fontId="3" fillId="6" borderId="42" xfId="11" applyNumberFormat="1" applyFill="1" applyBorder="1" applyAlignment="1">
      <alignment horizontal="center"/>
    </xf>
    <xf numFmtId="168" fontId="0" fillId="6" borderId="42" xfId="12" applyNumberFormat="1" applyFont="1" applyFill="1" applyBorder="1" applyAlignment="1">
      <alignment horizontal="center"/>
    </xf>
    <xf numFmtId="0" fontId="3" fillId="6" borderId="43" xfId="11" applyFill="1" applyBorder="1" applyAlignment="1" applyProtection="1">
      <alignment horizontal="center"/>
      <protection locked="0"/>
    </xf>
    <xf numFmtId="9" fontId="0" fillId="19" borderId="44" xfId="13" applyFont="1" applyFill="1" applyBorder="1" applyAlignment="1" applyProtection="1">
      <alignment horizontal="center"/>
      <protection locked="0"/>
    </xf>
    <xf numFmtId="0" fontId="3" fillId="21" borderId="34" xfId="11" applyFill="1" applyBorder="1"/>
    <xf numFmtId="0" fontId="3" fillId="21" borderId="36" xfId="11" applyFill="1" applyBorder="1"/>
    <xf numFmtId="0" fontId="3" fillId="6" borderId="16" xfId="11" applyFill="1" applyBorder="1" applyAlignment="1">
      <alignment horizontal="center"/>
    </xf>
    <xf numFmtId="0" fontId="3" fillId="6" borderId="17" xfId="11" applyFill="1" applyBorder="1" applyAlignment="1">
      <alignment horizontal="center"/>
    </xf>
    <xf numFmtId="0" fontId="42" fillId="6" borderId="19" xfId="11" applyFont="1" applyFill="1" applyBorder="1" applyAlignment="1">
      <alignment horizontal="center"/>
    </xf>
    <xf numFmtId="167" fontId="0" fillId="6" borderId="18" xfId="12" applyNumberFormat="1" applyFont="1" applyFill="1" applyBorder="1" applyAlignment="1">
      <alignment horizontal="center"/>
    </xf>
    <xf numFmtId="9" fontId="0" fillId="6" borderId="18" xfId="13" applyFont="1" applyFill="1" applyBorder="1" applyAlignment="1">
      <alignment horizontal="center"/>
    </xf>
    <xf numFmtId="167" fontId="0" fillId="0" borderId="42" xfId="13" applyNumberFormat="1" applyFont="1" applyBorder="1" applyAlignment="1" applyProtection="1">
      <alignment horizontal="center"/>
    </xf>
    <xf numFmtId="167" fontId="0" fillId="6" borderId="42" xfId="13" applyNumberFormat="1" applyFont="1" applyFill="1" applyBorder="1" applyAlignment="1" applyProtection="1">
      <alignment horizontal="center"/>
    </xf>
    <xf numFmtId="167" fontId="0" fillId="6" borderId="18" xfId="13" applyNumberFormat="1" applyFont="1" applyFill="1" applyBorder="1" applyAlignment="1" applyProtection="1">
      <alignment horizontal="center"/>
      <protection locked="0"/>
    </xf>
    <xf numFmtId="0" fontId="0" fillId="6" borderId="18" xfId="13" applyNumberFormat="1" applyFont="1" applyFill="1" applyBorder="1" applyAlignment="1" applyProtection="1">
      <alignment horizontal="center"/>
      <protection locked="0"/>
    </xf>
    <xf numFmtId="0" fontId="0" fillId="0" borderId="44" xfId="13" applyNumberFormat="1" applyFont="1" applyBorder="1" applyAlignment="1" applyProtection="1">
      <alignment horizontal="center"/>
      <protection locked="0"/>
    </xf>
    <xf numFmtId="0" fontId="3" fillId="0" borderId="47" xfId="11" applyBorder="1" applyAlignment="1">
      <alignment horizontal="center"/>
    </xf>
    <xf numFmtId="2" fontId="0" fillId="6" borderId="42" xfId="13" applyNumberFormat="1" applyFont="1" applyFill="1" applyBorder="1" applyAlignment="1" applyProtection="1">
      <alignment horizontal="center"/>
    </xf>
    <xf numFmtId="167" fontId="0" fillId="0" borderId="44" xfId="13" applyNumberFormat="1" applyFont="1" applyBorder="1" applyAlignment="1" applyProtection="1">
      <alignment horizontal="center"/>
      <protection locked="0"/>
    </xf>
    <xf numFmtId="0" fontId="3" fillId="0" borderId="19" xfId="11" applyBorder="1" applyAlignment="1">
      <alignment horizontal="center"/>
    </xf>
    <xf numFmtId="167" fontId="0" fillId="6" borderId="44" xfId="13" applyNumberFormat="1" applyFont="1" applyFill="1" applyBorder="1" applyAlignment="1" applyProtection="1">
      <alignment horizontal="center"/>
      <protection locked="0"/>
    </xf>
    <xf numFmtId="167" fontId="0" fillId="6" borderId="18" xfId="13" applyNumberFormat="1" applyFont="1" applyFill="1" applyBorder="1" applyAlignment="1">
      <alignment horizontal="center"/>
    </xf>
    <xf numFmtId="9" fontId="0" fillId="0" borderId="18" xfId="13" applyFont="1" applyBorder="1" applyAlignment="1" applyProtection="1">
      <alignment horizontal="center"/>
      <protection locked="0"/>
    </xf>
    <xf numFmtId="9" fontId="0" fillId="0" borderId="44" xfId="13" applyFont="1" applyBorder="1" applyAlignment="1" applyProtection="1">
      <alignment horizontal="center"/>
      <protection locked="0"/>
    </xf>
    <xf numFmtId="0" fontId="3" fillId="2" borderId="34" xfId="11" applyFill="1" applyBorder="1"/>
    <xf numFmtId="0" fontId="3" fillId="2" borderId="36" xfId="11" applyFill="1" applyBorder="1"/>
    <xf numFmtId="0" fontId="3" fillId="22" borderId="34" xfId="11" applyFill="1" applyBorder="1"/>
    <xf numFmtId="0" fontId="3" fillId="22" borderId="36" xfId="11" applyFill="1" applyBorder="1"/>
    <xf numFmtId="0" fontId="3" fillId="0" borderId="34" xfId="11" applyBorder="1"/>
    <xf numFmtId="0" fontId="3" fillId="0" borderId="36" xfId="11" applyBorder="1"/>
    <xf numFmtId="0" fontId="3" fillId="23" borderId="34" xfId="11" applyFill="1" applyBorder="1"/>
    <xf numFmtId="0" fontId="3" fillId="23" borderId="36" xfId="11" applyFill="1" applyBorder="1"/>
    <xf numFmtId="0" fontId="3" fillId="24" borderId="34" xfId="11" applyFill="1" applyBorder="1"/>
    <xf numFmtId="0" fontId="3" fillId="24" borderId="36" xfId="11" applyFill="1" applyBorder="1"/>
    <xf numFmtId="0" fontId="3" fillId="8" borderId="0" xfId="11" applyFill="1"/>
    <xf numFmtId="0" fontId="42" fillId="8" borderId="48" xfId="11" applyFont="1" applyFill="1" applyBorder="1" applyAlignment="1" applyProtection="1">
      <alignment horizontal="center" wrapText="1"/>
      <protection locked="0"/>
    </xf>
    <xf numFmtId="0" fontId="3" fillId="8" borderId="0" xfId="11" applyFill="1" applyAlignment="1">
      <alignment horizontal="center"/>
    </xf>
    <xf numFmtId="0" fontId="3" fillId="17" borderId="49" xfId="11" applyFill="1" applyBorder="1"/>
    <xf numFmtId="0" fontId="42" fillId="8" borderId="26" xfId="11" applyFont="1" applyFill="1" applyBorder="1" applyAlignment="1" applyProtection="1">
      <alignment horizontal="center" wrapText="1"/>
      <protection locked="0"/>
    </xf>
    <xf numFmtId="0" fontId="3" fillId="8" borderId="19" xfId="11" applyFill="1" applyBorder="1" applyAlignment="1">
      <alignment horizontal="center"/>
    </xf>
    <xf numFmtId="0" fontId="3" fillId="17" borderId="22" xfId="11" applyFill="1" applyBorder="1"/>
    <xf numFmtId="0" fontId="55" fillId="21" borderId="19" xfId="11" applyFont="1" applyFill="1" applyBorder="1" applyAlignment="1">
      <alignment horizontal="center"/>
    </xf>
    <xf numFmtId="0" fontId="55" fillId="20" borderId="19" xfId="11" applyFont="1" applyFill="1" applyBorder="1" applyAlignment="1">
      <alignment horizontal="center"/>
    </xf>
    <xf numFmtId="0" fontId="55" fillId="2" borderId="19" xfId="11" applyFont="1" applyFill="1" applyBorder="1" applyAlignment="1">
      <alignment horizontal="center"/>
    </xf>
    <xf numFmtId="0" fontId="55" fillId="22" borderId="19" xfId="11" applyFont="1" applyFill="1" applyBorder="1" applyAlignment="1">
      <alignment horizontal="center"/>
    </xf>
    <xf numFmtId="0" fontId="55" fillId="23" borderId="19" xfId="11" applyFont="1" applyFill="1" applyBorder="1" applyAlignment="1">
      <alignment horizontal="center"/>
    </xf>
    <xf numFmtId="0" fontId="55" fillId="6" borderId="19" xfId="11" applyFont="1" applyFill="1" applyBorder="1" applyAlignment="1">
      <alignment horizontal="center"/>
    </xf>
    <xf numFmtId="0" fontId="55" fillId="24" borderId="19" xfId="11" applyFont="1" applyFill="1" applyBorder="1" applyAlignment="1">
      <alignment horizontal="center"/>
    </xf>
    <xf numFmtId="0" fontId="55" fillId="6" borderId="43" xfId="11" applyFont="1" applyFill="1" applyBorder="1" applyAlignment="1">
      <alignment horizontal="center"/>
    </xf>
    <xf numFmtId="0" fontId="55" fillId="19" borderId="19" xfId="11" applyFont="1" applyFill="1" applyBorder="1" applyAlignment="1">
      <alignment horizontal="center"/>
    </xf>
    <xf numFmtId="0" fontId="55" fillId="6" borderId="43" xfId="11" applyFont="1" applyFill="1" applyBorder="1" applyAlignment="1">
      <alignment horizontal="center" wrapText="1"/>
    </xf>
    <xf numFmtId="0" fontId="55" fillId="6" borderId="0" xfId="11" applyFont="1" applyFill="1" applyAlignment="1">
      <alignment horizontal="center"/>
    </xf>
    <xf numFmtId="0" fontId="55" fillId="8" borderId="19" xfId="11" applyFont="1" applyFill="1" applyBorder="1" applyAlignment="1">
      <alignment horizontal="center"/>
    </xf>
    <xf numFmtId="0" fontId="55" fillId="8" borderId="0" xfId="11" applyFont="1" applyFill="1" applyAlignment="1">
      <alignment horizontal="center"/>
    </xf>
    <xf numFmtId="0" fontId="55" fillId="24" borderId="0" xfId="11" applyFont="1" applyFill="1" applyAlignment="1">
      <alignment horizontal="center"/>
    </xf>
    <xf numFmtId="0" fontId="55" fillId="23" borderId="0" xfId="11" applyFont="1" applyFill="1" applyAlignment="1">
      <alignment horizontal="center"/>
    </xf>
    <xf numFmtId="0" fontId="55" fillId="22" borderId="0" xfId="11" applyFont="1" applyFill="1" applyAlignment="1">
      <alignment horizontal="center"/>
    </xf>
    <xf numFmtId="0" fontId="55" fillId="2" borderId="0" xfId="11" applyFont="1" applyFill="1" applyAlignment="1">
      <alignment horizontal="center"/>
    </xf>
    <xf numFmtId="168" fontId="60" fillId="6" borderId="50" xfId="11" applyNumberFormat="1" applyFont="1" applyFill="1" applyBorder="1" applyAlignment="1">
      <alignment horizontal="center"/>
    </xf>
    <xf numFmtId="167" fontId="58" fillId="6" borderId="50" xfId="12" applyNumberFormat="1" applyFont="1" applyFill="1" applyBorder="1" applyAlignment="1">
      <alignment horizontal="center"/>
    </xf>
    <xf numFmtId="0" fontId="55" fillId="21" borderId="31" xfId="11" applyFont="1" applyFill="1" applyBorder="1" applyAlignment="1" applyProtection="1">
      <alignment horizontal="center"/>
      <protection locked="0"/>
    </xf>
    <xf numFmtId="0" fontId="55" fillId="20" borderId="31" xfId="11" applyFont="1" applyFill="1" applyBorder="1" applyAlignment="1" applyProtection="1">
      <alignment horizontal="center"/>
      <protection locked="0"/>
    </xf>
    <xf numFmtId="3" fontId="55" fillId="19" borderId="31" xfId="11" applyNumberFormat="1" applyFont="1" applyFill="1" applyBorder="1" applyAlignment="1" applyProtection="1">
      <alignment horizontal="center"/>
      <protection locked="0"/>
    </xf>
    <xf numFmtId="3" fontId="55" fillId="6" borderId="0" xfId="11" applyNumberFormat="1" applyFont="1" applyFill="1" applyAlignment="1">
      <alignment horizontal="center"/>
    </xf>
    <xf numFmtId="0" fontId="55" fillId="6" borderId="50" xfId="11" applyFont="1" applyFill="1" applyBorder="1" applyAlignment="1">
      <alignment horizontal="center"/>
    </xf>
    <xf numFmtId="167" fontId="65" fillId="6" borderId="50" xfId="12" applyNumberFormat="1" applyFont="1" applyFill="1" applyBorder="1" applyAlignment="1">
      <alignment horizontal="center"/>
    </xf>
    <xf numFmtId="1" fontId="58" fillId="6" borderId="50" xfId="11" applyNumberFormat="1" applyFont="1" applyFill="1" applyBorder="1" applyAlignment="1">
      <alignment horizontal="center"/>
    </xf>
    <xf numFmtId="1" fontId="58" fillId="6" borderId="0" xfId="11" applyNumberFormat="1" applyFont="1" applyFill="1" applyAlignment="1">
      <alignment horizontal="center"/>
    </xf>
    <xf numFmtId="1" fontId="65" fillId="6" borderId="50" xfId="12" applyNumberFormat="1" applyFont="1" applyFill="1" applyBorder="1" applyAlignment="1">
      <alignment horizontal="center"/>
    </xf>
    <xf numFmtId="44" fontId="0" fillId="6" borderId="0" xfId="12" applyFont="1" applyFill="1" applyBorder="1" applyAlignment="1">
      <alignment horizontal="center"/>
    </xf>
    <xf numFmtId="168" fontId="60" fillId="6" borderId="50" xfId="12" applyNumberFormat="1" applyFont="1" applyFill="1" applyBorder="1" applyAlignment="1">
      <alignment horizontal="center"/>
    </xf>
    <xf numFmtId="167" fontId="62" fillId="6" borderId="50" xfId="12" applyNumberFormat="1" applyFont="1" applyFill="1" applyBorder="1" applyAlignment="1">
      <alignment horizontal="center"/>
    </xf>
    <xf numFmtId="1" fontId="57" fillId="6" borderId="50" xfId="10" applyNumberFormat="1" applyFill="1" applyBorder="1" applyAlignment="1">
      <alignment horizontal="center"/>
    </xf>
    <xf numFmtId="1" fontId="62" fillId="6" borderId="0" xfId="11" applyNumberFormat="1" applyFont="1" applyFill="1" applyAlignment="1">
      <alignment horizontal="center"/>
    </xf>
    <xf numFmtId="1" fontId="0" fillId="6" borderId="0" xfId="12" applyNumberFormat="1" applyFont="1" applyFill="1" applyBorder="1" applyAlignment="1">
      <alignment horizontal="center"/>
    </xf>
    <xf numFmtId="0" fontId="55" fillId="21" borderId="0" xfId="11" applyFont="1" applyFill="1" applyAlignment="1">
      <alignment horizontal="center"/>
    </xf>
    <xf numFmtId="0" fontId="55" fillId="20" borderId="0" xfId="11" applyFont="1" applyFill="1" applyAlignment="1">
      <alignment horizontal="center"/>
    </xf>
    <xf numFmtId="0" fontId="55" fillId="19" borderId="0" xfId="11" applyFont="1" applyFill="1" applyAlignment="1">
      <alignment horizontal="center"/>
    </xf>
    <xf numFmtId="0" fontId="55" fillId="6" borderId="50" xfId="11" applyFont="1" applyFill="1" applyBorder="1" applyAlignment="1">
      <alignment horizontal="center" wrapText="1"/>
    </xf>
    <xf numFmtId="0" fontId="66" fillId="8" borderId="0" xfId="11" applyFont="1" applyFill="1" applyAlignment="1">
      <alignment horizontal="center" wrapText="1"/>
    </xf>
    <xf numFmtId="3" fontId="55" fillId="24" borderId="0" xfId="11" applyNumberFormat="1" applyFont="1" applyFill="1" applyAlignment="1">
      <alignment horizontal="center"/>
    </xf>
    <xf numFmtId="3" fontId="3" fillId="6" borderId="0" xfId="11" applyNumberFormat="1" applyFill="1" applyAlignment="1">
      <alignment horizontal="center"/>
    </xf>
    <xf numFmtId="3" fontId="55" fillId="22" borderId="0" xfId="11" applyNumberFormat="1" applyFont="1" applyFill="1" applyAlignment="1">
      <alignment horizontal="center"/>
    </xf>
    <xf numFmtId="167" fontId="65" fillId="2" borderId="0" xfId="12" applyNumberFormat="1" applyFont="1" applyFill="1" applyBorder="1" applyAlignment="1" applyProtection="1">
      <alignment horizontal="center"/>
    </xf>
    <xf numFmtId="0" fontId="49" fillId="26" borderId="24" xfId="4" applyFont="1" applyFill="1" applyBorder="1" applyAlignment="1">
      <alignment horizontal="center" vertical="center"/>
    </xf>
    <xf numFmtId="0" fontId="49" fillId="26" borderId="15" xfId="4" applyFont="1" applyFill="1" applyBorder="1" applyAlignment="1">
      <alignment horizontal="center" vertical="center"/>
    </xf>
    <xf numFmtId="0" fontId="49" fillId="26" borderId="23" xfId="4" applyFont="1" applyFill="1" applyBorder="1" applyAlignment="1">
      <alignment horizontal="center" vertical="center"/>
    </xf>
    <xf numFmtId="169" fontId="67" fillId="0" borderId="0" xfId="4" applyNumberFormat="1" applyFont="1" applyAlignment="1">
      <alignment horizontal="center" vertical="center"/>
    </xf>
    <xf numFmtId="0" fontId="59" fillId="0" borderId="0" xfId="4" applyFont="1" applyAlignment="1">
      <alignment horizontal="center" vertical="center"/>
    </xf>
    <xf numFmtId="169" fontId="59" fillId="0" borderId="0" xfId="4" applyNumberFormat="1" applyFont="1" applyAlignment="1">
      <alignment horizontal="center" vertical="center"/>
    </xf>
    <xf numFmtId="9" fontId="2" fillId="0" borderId="0" xfId="3" applyFont="1" applyAlignment="1">
      <alignment horizontal="center" vertical="center"/>
    </xf>
    <xf numFmtId="165" fontId="2" fillId="0" borderId="4" xfId="0" applyNumberFormat="1" applyFont="1" applyBorder="1" applyAlignment="1">
      <alignment horizontal="center"/>
    </xf>
    <xf numFmtId="165" fontId="2" fillId="0" borderId="0" xfId="0" applyNumberFormat="1" applyFont="1" applyAlignment="1">
      <alignment horizontal="center"/>
    </xf>
    <xf numFmtId="165" fontId="2" fillId="0" borderId="7" xfId="0" applyNumberFormat="1" applyFont="1" applyBorder="1" applyAlignment="1">
      <alignment horizontal="center" vertical="top"/>
    </xf>
    <xf numFmtId="165" fontId="2" fillId="0" borderId="0" xfId="0" applyNumberFormat="1" applyFont="1" applyAlignment="1">
      <alignment horizontal="center" vertical="top"/>
    </xf>
    <xf numFmtId="2" fontId="47" fillId="6" borderId="0" xfId="4" applyNumberFormat="1" applyFont="1" applyFill="1" applyAlignment="1">
      <alignment horizontal="center" vertical="center"/>
    </xf>
    <xf numFmtId="1" fontId="47" fillId="6" borderId="0" xfId="4" applyNumberFormat="1" applyFont="1" applyFill="1" applyAlignment="1" applyProtection="1">
      <alignment horizontal="center" vertical="center"/>
      <protection hidden="1"/>
    </xf>
    <xf numFmtId="0" fontId="45" fillId="0" borderId="0" xfId="4" applyFont="1"/>
    <xf numFmtId="9" fontId="33" fillId="6" borderId="7" xfId="3" applyFont="1" applyFill="1" applyBorder="1" applyAlignment="1" applyProtection="1">
      <alignment horizontal="center" vertical="center"/>
      <protection locked="0"/>
    </xf>
    <xf numFmtId="0" fontId="33" fillId="8" borderId="7" xfId="0" applyFont="1" applyFill="1" applyBorder="1" applyAlignment="1" applyProtection="1">
      <alignment horizontal="center" vertical="center"/>
      <protection hidden="1"/>
    </xf>
    <xf numFmtId="1" fontId="33" fillId="8" borderId="7" xfId="0" applyNumberFormat="1" applyFont="1" applyFill="1" applyBorder="1" applyAlignment="1" applyProtection="1">
      <alignment horizontal="center" vertical="center"/>
      <protection hidden="1"/>
    </xf>
    <xf numFmtId="1" fontId="34" fillId="8" borderId="12" xfId="0" applyNumberFormat="1" applyFont="1" applyFill="1" applyBorder="1" applyAlignment="1">
      <alignment horizontal="center" vertical="center"/>
    </xf>
    <xf numFmtId="0" fontId="33" fillId="8" borderId="7" xfId="1" applyNumberFormat="1" applyFont="1" applyFill="1" applyBorder="1" applyAlignment="1" applyProtection="1">
      <alignment horizontal="center" vertical="center"/>
      <protection hidden="1"/>
    </xf>
    <xf numFmtId="0" fontId="33" fillId="0" borderId="0" xfId="0" applyFont="1" applyAlignment="1" applyProtection="1">
      <alignment horizontal="center" vertical="center"/>
      <protection locked="0"/>
    </xf>
    <xf numFmtId="0" fontId="33" fillId="0" borderId="0" xfId="1" applyNumberFormat="1" applyFont="1" applyBorder="1" applyAlignment="1" applyProtection="1">
      <alignment horizontal="center" vertical="center"/>
      <protection locked="0"/>
    </xf>
    <xf numFmtId="9" fontId="33" fillId="8" borderId="0" xfId="3" applyFont="1" applyFill="1" applyBorder="1" applyAlignment="1" applyProtection="1">
      <alignment horizontal="center" vertical="center"/>
    </xf>
    <xf numFmtId="0" fontId="33" fillId="8" borderId="0" xfId="1" applyNumberFormat="1" applyFont="1" applyFill="1" applyBorder="1" applyAlignment="1" applyProtection="1">
      <alignment horizontal="center" vertical="center"/>
    </xf>
    <xf numFmtId="1" fontId="34" fillId="8" borderId="11" xfId="0" applyNumberFormat="1" applyFont="1" applyFill="1" applyBorder="1" applyAlignment="1">
      <alignment horizontal="center" vertical="center"/>
    </xf>
    <xf numFmtId="1" fontId="33" fillId="8" borderId="7" xfId="1" applyNumberFormat="1" applyFont="1" applyFill="1" applyBorder="1" applyAlignment="1" applyProtection="1">
      <alignment horizontal="center" vertical="center"/>
      <protection hidden="1"/>
    </xf>
    <xf numFmtId="169" fontId="0" fillId="0" borderId="0" xfId="0" applyNumberFormat="1"/>
    <xf numFmtId="0" fontId="70" fillId="27" borderId="14" xfId="0" applyFont="1" applyFill="1" applyBorder="1" applyAlignment="1" applyProtection="1">
      <alignment horizontal="center" vertical="center"/>
      <protection locked="0"/>
    </xf>
    <xf numFmtId="0" fontId="31" fillId="29" borderId="0" xfId="0" applyFont="1" applyFill="1" applyAlignment="1">
      <alignment horizontal="center" vertical="center"/>
    </xf>
    <xf numFmtId="0" fontId="68" fillId="29" borderId="0" xfId="0" applyFont="1" applyFill="1" applyAlignment="1">
      <alignment vertical="center"/>
    </xf>
    <xf numFmtId="0" fontId="33" fillId="29" borderId="0" xfId="0" applyFont="1" applyFill="1"/>
    <xf numFmtId="0" fontId="33" fillId="29" borderId="11" xfId="0" applyFont="1" applyFill="1" applyBorder="1"/>
    <xf numFmtId="0" fontId="30" fillId="29" borderId="0" xfId="0" applyFont="1" applyFill="1" applyAlignment="1">
      <alignment horizontal="center" vertical="center" wrapText="1"/>
    </xf>
    <xf numFmtId="164" fontId="33" fillId="29" borderId="0" xfId="0" applyNumberFormat="1" applyFont="1" applyFill="1"/>
    <xf numFmtId="0" fontId="29" fillId="29" borderId="0" xfId="0" applyFont="1" applyFill="1" applyAlignment="1">
      <alignment vertical="center"/>
    </xf>
    <xf numFmtId="164" fontId="33" fillId="29" borderId="11" xfId="0" applyNumberFormat="1" applyFont="1" applyFill="1" applyBorder="1"/>
    <xf numFmtId="0" fontId="30" fillId="27" borderId="7" xfId="0" applyFont="1" applyFill="1" applyBorder="1" applyAlignment="1">
      <alignment horizontal="center" vertical="center"/>
    </xf>
    <xf numFmtId="1" fontId="33" fillId="8" borderId="0" xfId="0" applyNumberFormat="1" applyFont="1" applyFill="1" applyAlignment="1">
      <alignment horizontal="center" vertical="center"/>
    </xf>
    <xf numFmtId="1" fontId="33" fillId="8" borderId="7" xfId="0" applyNumberFormat="1" applyFont="1" applyFill="1" applyBorder="1" applyAlignment="1">
      <alignment horizontal="center" vertical="center"/>
    </xf>
    <xf numFmtId="168" fontId="33" fillId="8" borderId="0" xfId="0" applyNumberFormat="1" applyFont="1" applyFill="1" applyAlignment="1">
      <alignment horizontal="center" vertical="center"/>
    </xf>
    <xf numFmtId="168" fontId="33" fillId="8" borderId="7" xfId="0" applyNumberFormat="1" applyFont="1" applyFill="1" applyBorder="1" applyAlignment="1">
      <alignment horizontal="center" vertical="center"/>
    </xf>
    <xf numFmtId="167" fontId="33" fillId="8" borderId="0" xfId="0" applyNumberFormat="1" applyFont="1" applyFill="1" applyAlignment="1">
      <alignment horizontal="center" vertical="center"/>
    </xf>
    <xf numFmtId="167" fontId="33" fillId="8" borderId="7" xfId="0" applyNumberFormat="1" applyFont="1" applyFill="1" applyBorder="1" applyAlignment="1">
      <alignment horizontal="center" vertical="center"/>
    </xf>
    <xf numFmtId="167" fontId="34" fillId="8" borderId="11" xfId="0" applyNumberFormat="1" applyFont="1" applyFill="1" applyBorder="1" applyAlignment="1">
      <alignment horizontal="center" vertical="center"/>
    </xf>
    <xf numFmtId="167" fontId="34" fillId="8" borderId="12" xfId="0" applyNumberFormat="1" applyFont="1" applyFill="1" applyBorder="1" applyAlignment="1">
      <alignment horizontal="center" vertical="center"/>
    </xf>
    <xf numFmtId="0" fontId="32" fillId="8" borderId="52" xfId="0" applyFont="1" applyFill="1" applyBorder="1" applyAlignment="1">
      <alignment vertical="center" wrapText="1"/>
    </xf>
    <xf numFmtId="0" fontId="32" fillId="8" borderId="51" xfId="0" applyFont="1" applyFill="1" applyBorder="1" applyAlignment="1">
      <alignment vertical="center" wrapText="1"/>
    </xf>
    <xf numFmtId="0" fontId="32" fillId="8" borderId="52" xfId="0" applyFont="1" applyFill="1" applyBorder="1" applyAlignment="1">
      <alignment vertical="center"/>
    </xf>
    <xf numFmtId="0" fontId="32" fillId="8" borderId="51" xfId="0" applyFont="1" applyFill="1" applyBorder="1" applyAlignment="1">
      <alignment vertical="center"/>
    </xf>
    <xf numFmtId="0" fontId="69" fillId="9" borderId="24" xfId="0" applyFont="1" applyFill="1" applyBorder="1" applyAlignment="1">
      <alignment horizontal="center" vertical="center"/>
    </xf>
    <xf numFmtId="0" fontId="31" fillId="9" borderId="24" xfId="0" applyFont="1" applyFill="1" applyBorder="1" applyAlignment="1">
      <alignment horizontal="center" vertical="center"/>
    </xf>
    <xf numFmtId="0" fontId="68" fillId="30" borderId="14" xfId="0" applyFont="1" applyFill="1" applyBorder="1" applyAlignment="1" applyProtection="1">
      <alignment horizontal="center" vertical="center"/>
      <protection locked="0"/>
    </xf>
    <xf numFmtId="0" fontId="71" fillId="30" borderId="0" xfId="0" applyFont="1" applyFill="1" applyAlignment="1">
      <alignment horizontal="center" vertical="center" wrapText="1"/>
    </xf>
    <xf numFmtId="0" fontId="71" fillId="30" borderId="0" xfId="0" applyFont="1" applyFill="1" applyAlignment="1">
      <alignment horizontal="center" vertical="center"/>
    </xf>
    <xf numFmtId="0" fontId="10" fillId="2" borderId="0" xfId="0" applyFont="1" applyFill="1" applyAlignment="1" applyProtection="1">
      <alignment horizontal="center"/>
      <protection hidden="1"/>
    </xf>
    <xf numFmtId="0" fontId="10" fillId="2" borderId="0" xfId="0" applyFont="1" applyFill="1" applyAlignment="1">
      <alignment horizontal="center"/>
    </xf>
    <xf numFmtId="1" fontId="11" fillId="2" borderId="0" xfId="0" applyNumberFormat="1" applyFont="1" applyFill="1" applyAlignment="1">
      <alignment horizontal="center"/>
    </xf>
    <xf numFmtId="1" fontId="10" fillId="2" borderId="0" xfId="0" applyNumberFormat="1" applyFont="1" applyFill="1" applyAlignment="1" applyProtection="1">
      <alignment horizontal="center"/>
      <protection hidden="1"/>
    </xf>
    <xf numFmtId="0" fontId="10" fillId="29" borderId="0" xfId="0" applyFont="1" applyFill="1"/>
    <xf numFmtId="2" fontId="10" fillId="29" borderId="0" xfId="0" applyNumberFormat="1" applyFont="1" applyFill="1"/>
    <xf numFmtId="0" fontId="0" fillId="29" borderId="0" xfId="0" applyFill="1"/>
    <xf numFmtId="164" fontId="10" fillId="29" borderId="0" xfId="0" applyNumberFormat="1" applyFont="1" applyFill="1"/>
    <xf numFmtId="1" fontId="10" fillId="29" borderId="0" xfId="1" applyNumberFormat="1" applyFont="1" applyFill="1" applyBorder="1"/>
    <xf numFmtId="1" fontId="10" fillId="29" borderId="1" xfId="1" applyNumberFormat="1" applyFont="1" applyFill="1" applyBorder="1"/>
    <xf numFmtId="1" fontId="10" fillId="29" borderId="0" xfId="0" applyNumberFormat="1" applyFont="1" applyFill="1"/>
    <xf numFmtId="0" fontId="72" fillId="30" borderId="0" xfId="0" applyFont="1" applyFill="1" applyAlignment="1">
      <alignment horizontal="center" vertical="center" wrapText="1"/>
    </xf>
    <xf numFmtId="0" fontId="72" fillId="29" borderId="0" xfId="0" applyFont="1" applyFill="1" applyAlignment="1">
      <alignment vertical="center" wrapText="1"/>
    </xf>
    <xf numFmtId="167" fontId="33" fillId="0" borderId="7" xfId="0" applyNumberFormat="1" applyFont="1" applyBorder="1" applyAlignment="1" applyProtection="1">
      <alignment horizontal="center" vertical="center"/>
      <protection locked="0"/>
    </xf>
    <xf numFmtId="169" fontId="33" fillId="8" borderId="7" xfId="0" applyNumberFormat="1" applyFont="1" applyFill="1" applyBorder="1" applyAlignment="1">
      <alignment horizontal="center" vertical="center"/>
    </xf>
    <xf numFmtId="0" fontId="33" fillId="8" borderId="7" xfId="0" applyFont="1" applyFill="1" applyBorder="1" applyAlignment="1">
      <alignment horizontal="center" vertical="center"/>
    </xf>
    <xf numFmtId="9" fontId="33" fillId="8" borderId="7" xfId="3" applyFont="1" applyFill="1" applyBorder="1" applyAlignment="1" applyProtection="1">
      <alignment horizontal="center" vertical="center"/>
    </xf>
    <xf numFmtId="1" fontId="33" fillId="8" borderId="13" xfId="0" applyNumberFormat="1" applyFont="1" applyFill="1" applyBorder="1" applyAlignment="1">
      <alignment horizontal="center" vertical="center"/>
    </xf>
    <xf numFmtId="0" fontId="33" fillId="8" borderId="12" xfId="0" applyFont="1" applyFill="1" applyBorder="1" applyAlignment="1">
      <alignment horizontal="center" vertical="center"/>
    </xf>
    <xf numFmtId="10" fontId="33" fillId="0" borderId="0" xfId="0" applyNumberFormat="1" applyFont="1" applyAlignment="1" applyProtection="1">
      <alignment horizontal="center" vertical="center"/>
      <protection locked="0"/>
    </xf>
    <xf numFmtId="167" fontId="33" fillId="0" borderId="0" xfId="0" applyNumberFormat="1" applyFont="1" applyAlignment="1" applyProtection="1">
      <alignment horizontal="center" vertical="center"/>
      <protection locked="0"/>
    </xf>
    <xf numFmtId="0" fontId="33" fillId="0" borderId="11" xfId="0" applyFont="1" applyBorder="1" applyAlignment="1" applyProtection="1">
      <alignment horizontal="center" vertical="center"/>
      <protection locked="0"/>
    </xf>
    <xf numFmtId="0" fontId="2" fillId="2" borderId="13" xfId="0" applyFont="1" applyFill="1" applyBorder="1" applyAlignment="1">
      <alignment vertical="center"/>
    </xf>
    <xf numFmtId="0" fontId="1" fillId="2" borderId="13" xfId="0" applyFont="1" applyFill="1" applyBorder="1" applyAlignment="1">
      <alignment vertical="center"/>
    </xf>
    <xf numFmtId="0" fontId="2" fillId="2" borderId="54" xfId="0" applyFont="1" applyFill="1" applyBorder="1" applyAlignment="1">
      <alignment vertical="center"/>
    </xf>
    <xf numFmtId="0" fontId="2" fillId="2" borderId="13" xfId="0" applyFont="1" applyFill="1" applyBorder="1" applyAlignment="1">
      <alignment vertical="center" wrapText="1"/>
    </xf>
    <xf numFmtId="0" fontId="73" fillId="30" borderId="0" xfId="0" applyFont="1" applyFill="1" applyAlignment="1">
      <alignment horizontal="center" vertical="center"/>
    </xf>
    <xf numFmtId="0" fontId="73" fillId="30" borderId="0" xfId="0" applyFont="1" applyFill="1" applyAlignment="1">
      <alignment horizontal="center" vertical="center" wrapText="1"/>
    </xf>
    <xf numFmtId="0" fontId="74" fillId="6" borderId="0" xfId="11" applyFont="1" applyFill="1" applyAlignment="1">
      <alignment horizontal="center"/>
    </xf>
    <xf numFmtId="0" fontId="43" fillId="0" borderId="0" xfId="5" applyAlignment="1">
      <alignment horizontal="center" vertical="center"/>
    </xf>
    <xf numFmtId="1" fontId="47" fillId="12" borderId="15" xfId="4" applyNumberFormat="1" applyFont="1" applyFill="1" applyBorder="1" applyAlignment="1">
      <alignment horizontal="center" vertical="center"/>
    </xf>
    <xf numFmtId="1" fontId="47" fillId="12" borderId="14" xfId="4" applyNumberFormat="1" applyFont="1" applyFill="1" applyBorder="1" applyAlignment="1">
      <alignment horizontal="center" vertical="center"/>
    </xf>
    <xf numFmtId="1" fontId="47" fillId="11" borderId="15" xfId="4" applyNumberFormat="1" applyFont="1" applyFill="1" applyBorder="1" applyAlignment="1" applyProtection="1">
      <alignment horizontal="center" vertical="center"/>
      <protection locked="0" hidden="1"/>
    </xf>
    <xf numFmtId="1" fontId="47" fillId="11" borderId="14" xfId="4" applyNumberFormat="1" applyFont="1" applyFill="1" applyBorder="1" applyAlignment="1" applyProtection="1">
      <alignment horizontal="center" vertical="center"/>
      <protection locked="0" hidden="1"/>
    </xf>
    <xf numFmtId="0" fontId="4" fillId="0" borderId="0" xfId="4" applyAlignment="1">
      <alignment horizontal="center" wrapText="1"/>
    </xf>
    <xf numFmtId="170" fontId="47" fillId="11" borderId="15" xfId="6" applyNumberFormat="1" applyFont="1" applyFill="1" applyBorder="1" applyAlignment="1" applyProtection="1">
      <alignment horizontal="center" vertical="center"/>
      <protection locked="0" hidden="1"/>
    </xf>
    <xf numFmtId="170" fontId="47" fillId="11" borderId="14" xfId="6" applyNumberFormat="1" applyFont="1" applyFill="1" applyBorder="1" applyAlignment="1" applyProtection="1">
      <alignment horizontal="center" vertical="center"/>
      <protection locked="0" hidden="1"/>
    </xf>
    <xf numFmtId="1" fontId="47" fillId="13" borderId="15" xfId="4" applyNumberFormat="1" applyFont="1" applyFill="1" applyBorder="1" applyAlignment="1">
      <alignment horizontal="center" vertical="center"/>
    </xf>
    <xf numFmtId="1" fontId="47" fillId="13" borderId="14" xfId="4" applyNumberFormat="1" applyFont="1" applyFill="1" applyBorder="1" applyAlignment="1">
      <alignment horizontal="center" vertical="center"/>
    </xf>
    <xf numFmtId="0" fontId="48" fillId="0" borderId="22" xfId="4" applyFont="1" applyBorder="1" applyAlignment="1">
      <alignment horizontal="center" vertical="center" wrapText="1"/>
    </xf>
    <xf numFmtId="0" fontId="48" fillId="0" borderId="21" xfId="4" applyFont="1" applyBorder="1" applyAlignment="1">
      <alignment horizontal="center" vertical="center" wrapText="1"/>
    </xf>
    <xf numFmtId="0" fontId="48" fillId="0" borderId="20" xfId="4" applyFont="1" applyBorder="1" applyAlignment="1">
      <alignment horizontal="center" vertical="center" wrapText="1"/>
    </xf>
    <xf numFmtId="0" fontId="48" fillId="0" borderId="17" xfId="4" applyFont="1" applyBorder="1" applyAlignment="1">
      <alignment horizontal="center" vertical="center" wrapText="1"/>
    </xf>
    <xf numFmtId="0" fontId="48" fillId="0" borderId="1" xfId="4" applyFont="1" applyBorder="1" applyAlignment="1">
      <alignment horizontal="center" vertical="center" wrapText="1"/>
    </xf>
    <xf numFmtId="0" fontId="48" fillId="0" borderId="16" xfId="4" applyFont="1" applyBorder="1" applyAlignment="1">
      <alignment horizontal="center" vertical="center" wrapText="1"/>
    </xf>
    <xf numFmtId="1" fontId="47" fillId="11" borderId="15" xfId="8" applyNumberFormat="1" applyFont="1" applyFill="1" applyBorder="1" applyAlignment="1" applyProtection="1">
      <alignment horizontal="center" vertical="center"/>
      <protection locked="0" hidden="1"/>
    </xf>
    <xf numFmtId="1" fontId="47" fillId="11" borderId="14" xfId="8" applyNumberFormat="1" applyFont="1" applyFill="1" applyBorder="1" applyAlignment="1" applyProtection="1">
      <alignment horizontal="center" vertical="center"/>
      <protection locked="0" hidden="1"/>
    </xf>
    <xf numFmtId="1" fontId="47" fillId="14" borderId="15" xfId="4" applyNumberFormat="1" applyFont="1" applyFill="1" applyBorder="1" applyAlignment="1" applyProtection="1">
      <alignment horizontal="center" vertical="center"/>
      <protection locked="0"/>
    </xf>
    <xf numFmtId="1" fontId="47" fillId="14" borderId="14" xfId="4" applyNumberFormat="1" applyFont="1" applyFill="1" applyBorder="1" applyAlignment="1" applyProtection="1">
      <alignment horizontal="center" vertical="center"/>
      <protection locked="0"/>
    </xf>
    <xf numFmtId="0" fontId="48" fillId="0" borderId="22" xfId="4" applyFont="1" applyBorder="1" applyAlignment="1">
      <alignment horizontal="center" vertical="center"/>
    </xf>
    <xf numFmtId="0" fontId="48" fillId="0" borderId="21" xfId="4" applyFont="1" applyBorder="1" applyAlignment="1">
      <alignment horizontal="center" vertical="center"/>
    </xf>
    <xf numFmtId="0" fontId="48" fillId="0" borderId="20" xfId="4" applyFont="1" applyBorder="1" applyAlignment="1">
      <alignment horizontal="center" vertical="center"/>
    </xf>
    <xf numFmtId="0" fontId="48" fillId="0" borderId="19" xfId="4" applyFont="1" applyBorder="1" applyAlignment="1">
      <alignment horizontal="center" vertical="center"/>
    </xf>
    <xf numFmtId="0" fontId="48" fillId="0" borderId="0" xfId="4" applyFont="1" applyAlignment="1">
      <alignment horizontal="center" vertical="center"/>
    </xf>
    <xf numFmtId="0" fontId="48" fillId="0" borderId="18" xfId="4" applyFont="1" applyBorder="1" applyAlignment="1">
      <alignment horizontal="center" vertical="center"/>
    </xf>
    <xf numFmtId="2" fontId="47" fillId="14" borderId="15" xfId="3" applyNumberFormat="1" applyFont="1" applyFill="1" applyBorder="1" applyAlignment="1" applyProtection="1">
      <alignment horizontal="center" vertical="center"/>
      <protection locked="0"/>
    </xf>
    <xf numFmtId="2" fontId="47" fillId="14" borderId="14" xfId="3" applyNumberFormat="1" applyFont="1" applyFill="1" applyBorder="1" applyAlignment="1" applyProtection="1">
      <alignment horizontal="center" vertical="center"/>
      <protection locked="0"/>
    </xf>
    <xf numFmtId="2" fontId="47" fillId="14" borderId="15" xfId="4" applyNumberFormat="1" applyFont="1" applyFill="1" applyBorder="1" applyAlignment="1" applyProtection="1">
      <alignment horizontal="center" vertical="center"/>
      <protection locked="0"/>
    </xf>
    <xf numFmtId="2" fontId="47" fillId="14" borderId="14" xfId="4" applyNumberFormat="1" applyFont="1" applyFill="1" applyBorder="1" applyAlignment="1" applyProtection="1">
      <alignment horizontal="center" vertical="center"/>
      <protection locked="0"/>
    </xf>
    <xf numFmtId="1" fontId="47" fillId="15" borderId="23" xfId="6" applyNumberFormat="1" applyFont="1" applyFill="1" applyBorder="1" applyAlignment="1">
      <alignment horizontal="center" vertical="center"/>
    </xf>
    <xf numFmtId="170" fontId="47" fillId="15" borderId="23" xfId="6" applyNumberFormat="1" applyFont="1" applyFill="1" applyBorder="1" applyAlignment="1">
      <alignment horizontal="center" vertical="center"/>
    </xf>
    <xf numFmtId="0" fontId="24" fillId="0" borderId="23" xfId="4" applyFont="1" applyBorder="1" applyAlignment="1">
      <alignment horizontal="center" vertical="center" wrapText="1"/>
    </xf>
    <xf numFmtId="9" fontId="47" fillId="14" borderId="15" xfId="3" applyFont="1" applyFill="1" applyBorder="1" applyAlignment="1" applyProtection="1">
      <alignment horizontal="center" vertical="center"/>
      <protection locked="0"/>
    </xf>
    <xf numFmtId="9" fontId="47" fillId="14" borderId="14" xfId="3" applyFont="1" applyFill="1" applyBorder="1" applyAlignment="1" applyProtection="1">
      <alignment horizontal="center" vertical="center"/>
      <protection locked="0"/>
    </xf>
    <xf numFmtId="1" fontId="47" fillId="15" borderId="15" xfId="4" applyNumberFormat="1" applyFont="1" applyFill="1" applyBorder="1" applyAlignment="1">
      <alignment horizontal="center" vertical="center"/>
    </xf>
    <xf numFmtId="1" fontId="47" fillId="15" borderId="14" xfId="4" applyNumberFormat="1" applyFont="1" applyFill="1" applyBorder="1" applyAlignment="1">
      <alignment horizontal="center" vertical="center"/>
    </xf>
    <xf numFmtId="0" fontId="48" fillId="0" borderId="28" xfId="4" applyFont="1" applyBorder="1" applyAlignment="1">
      <alignment horizontal="center" vertical="center"/>
    </xf>
    <xf numFmtId="0" fontId="48" fillId="0" borderId="2" xfId="4" applyFont="1" applyBorder="1" applyAlignment="1">
      <alignment horizontal="center" vertical="center"/>
    </xf>
    <xf numFmtId="0" fontId="48" fillId="0" borderId="27" xfId="4" applyFont="1" applyBorder="1" applyAlignment="1">
      <alignment horizontal="center" vertical="center"/>
    </xf>
    <xf numFmtId="0" fontId="48" fillId="0" borderId="30" xfId="4" applyFont="1" applyBorder="1" applyAlignment="1">
      <alignment horizontal="center" vertical="center"/>
    </xf>
    <xf numFmtId="0" fontId="48" fillId="0" borderId="29" xfId="4" applyFont="1" applyBorder="1" applyAlignment="1">
      <alignment horizontal="center" vertical="center"/>
    </xf>
    <xf numFmtId="44" fontId="47" fillId="15" borderId="24" xfId="6" applyFont="1" applyFill="1" applyBorder="1" applyAlignment="1">
      <alignment horizontal="center" vertical="center"/>
    </xf>
    <xf numFmtId="0" fontId="24" fillId="0" borderId="28" xfId="4" applyFont="1" applyBorder="1" applyAlignment="1">
      <alignment horizontal="center" vertical="center" wrapText="1"/>
    </xf>
    <xf numFmtId="0" fontId="24" fillId="0" borderId="2" xfId="4" applyFont="1" applyBorder="1" applyAlignment="1">
      <alignment horizontal="center" vertical="center" wrapText="1"/>
    </xf>
    <xf numFmtId="0" fontId="24" fillId="0" borderId="27" xfId="4" applyFont="1" applyBorder="1" applyAlignment="1">
      <alignment horizontal="center" vertical="center" wrapText="1"/>
    </xf>
    <xf numFmtId="0" fontId="24" fillId="0" borderId="26" xfId="4" applyFont="1" applyBorder="1" applyAlignment="1">
      <alignment horizontal="center" vertical="center" wrapText="1"/>
    </xf>
    <xf numFmtId="0" fontId="24" fillId="0" borderId="1" xfId="4" applyFont="1" applyBorder="1" applyAlignment="1">
      <alignment horizontal="center" vertical="center" wrapText="1"/>
    </xf>
    <xf numFmtId="0" fontId="24" fillId="0" borderId="25" xfId="4" applyFont="1" applyBorder="1" applyAlignment="1">
      <alignment horizontal="center" vertical="center" wrapText="1"/>
    </xf>
    <xf numFmtId="1" fontId="47" fillId="15" borderId="24" xfId="6" applyNumberFormat="1" applyFont="1" applyFill="1" applyBorder="1" applyAlignment="1">
      <alignment horizontal="center" vertical="center"/>
    </xf>
    <xf numFmtId="1" fontId="47" fillId="11" borderId="15" xfId="4" applyNumberFormat="1" applyFont="1" applyFill="1" applyBorder="1" applyAlignment="1" applyProtection="1">
      <alignment horizontal="center" vertical="center"/>
      <protection locked="0"/>
    </xf>
    <xf numFmtId="1" fontId="47" fillId="11" borderId="14" xfId="4" applyNumberFormat="1" applyFont="1" applyFill="1" applyBorder="1" applyAlignment="1" applyProtection="1">
      <alignment horizontal="center" vertical="center"/>
      <protection locked="0"/>
    </xf>
    <xf numFmtId="0" fontId="24" fillId="0" borderId="22" xfId="4" applyFont="1" applyBorder="1" applyAlignment="1">
      <alignment horizontal="center" vertical="center"/>
    </xf>
    <xf numFmtId="0" fontId="24" fillId="0" borderId="21" xfId="4" applyFont="1" applyBorder="1" applyAlignment="1">
      <alignment horizontal="center" vertical="center"/>
    </xf>
    <xf numFmtId="0" fontId="24" fillId="0" borderId="20" xfId="4" applyFont="1" applyBorder="1" applyAlignment="1">
      <alignment horizontal="center" vertical="center"/>
    </xf>
    <xf numFmtId="0" fontId="24" fillId="0" borderId="19" xfId="4" applyFont="1" applyBorder="1" applyAlignment="1">
      <alignment horizontal="center" vertical="center"/>
    </xf>
    <xf numFmtId="0" fontId="24" fillId="0" borderId="0" xfId="4" applyFont="1" applyAlignment="1">
      <alignment horizontal="center" vertical="center"/>
    </xf>
    <xf numFmtId="0" fontId="24" fillId="0" borderId="18" xfId="4" applyFont="1" applyBorder="1" applyAlignment="1">
      <alignment horizontal="center" vertical="center"/>
    </xf>
    <xf numFmtId="0" fontId="49" fillId="28" borderId="15" xfId="4" applyFont="1" applyFill="1" applyBorder="1" applyAlignment="1" applyProtection="1">
      <alignment horizontal="center" vertical="center"/>
      <protection locked="0" hidden="1"/>
    </xf>
    <xf numFmtId="0" fontId="49" fillId="28" borderId="14" xfId="4" applyFont="1" applyFill="1" applyBorder="1" applyAlignment="1" applyProtection="1">
      <alignment horizontal="center" vertical="center"/>
      <protection locked="0" hidden="1"/>
    </xf>
    <xf numFmtId="0" fontId="56" fillId="26" borderId="15" xfId="4" applyFont="1" applyFill="1" applyBorder="1" applyAlignment="1" applyProtection="1">
      <alignment horizontal="center" vertical="center"/>
      <protection locked="0" hidden="1"/>
    </xf>
    <xf numFmtId="0" fontId="56" fillId="26" borderId="14" xfId="4" applyFont="1" applyFill="1" applyBorder="1" applyAlignment="1" applyProtection="1">
      <alignment horizontal="center" vertical="center"/>
      <protection locked="0" hidden="1"/>
    </xf>
    <xf numFmtId="0" fontId="56" fillId="19" borderId="15" xfId="4" applyFont="1" applyFill="1" applyBorder="1" applyAlignment="1" applyProtection="1">
      <alignment horizontal="center" vertical="center"/>
      <protection locked="0" hidden="1"/>
    </xf>
    <xf numFmtId="0" fontId="56" fillId="19" borderId="14" xfId="4" applyFont="1" applyFill="1" applyBorder="1" applyAlignment="1" applyProtection="1">
      <alignment horizontal="center" vertical="center"/>
      <protection locked="0" hidden="1"/>
    </xf>
    <xf numFmtId="0" fontId="42" fillId="0" borderId="0" xfId="4" applyFont="1" applyAlignment="1">
      <alignment horizontal="center" vertical="center"/>
    </xf>
    <xf numFmtId="2" fontId="47" fillId="15" borderId="15" xfId="4" applyNumberFormat="1" applyFont="1" applyFill="1" applyBorder="1" applyAlignment="1">
      <alignment horizontal="center" vertical="center"/>
    </xf>
    <xf numFmtId="2" fontId="47" fillId="15" borderId="14" xfId="4" applyNumberFormat="1" applyFont="1" applyFill="1" applyBorder="1" applyAlignment="1">
      <alignment horizontal="center" vertical="center"/>
    </xf>
    <xf numFmtId="0" fontId="42" fillId="0" borderId="0" xfId="4" applyFont="1" applyAlignment="1">
      <alignment horizontal="center" vertical="center" wrapText="1"/>
    </xf>
    <xf numFmtId="171" fontId="47" fillId="15" borderId="23" xfId="6" applyNumberFormat="1" applyFont="1" applyFill="1" applyBorder="1" applyAlignment="1">
      <alignment horizontal="center" vertical="center"/>
    </xf>
    <xf numFmtId="0" fontId="42" fillId="16" borderId="31" xfId="0" applyFont="1" applyFill="1" applyBorder="1" applyAlignment="1">
      <alignment horizontal="center"/>
    </xf>
    <xf numFmtId="0" fontId="42" fillId="16" borderId="33" xfId="0" applyFont="1" applyFill="1" applyBorder="1" applyAlignment="1">
      <alignment horizontal="center"/>
    </xf>
    <xf numFmtId="0" fontId="0" fillId="6" borderId="0" xfId="0" applyFill="1" applyAlignment="1">
      <alignment horizontal="center"/>
    </xf>
    <xf numFmtId="0" fontId="61" fillId="0" borderId="19" xfId="11" applyFont="1" applyBorder="1" applyAlignment="1">
      <alignment horizontal="center" vertical="center"/>
    </xf>
    <xf numFmtId="0" fontId="61" fillId="0" borderId="18" xfId="11" applyFont="1" applyBorder="1" applyAlignment="1">
      <alignment horizontal="center" vertical="center"/>
    </xf>
    <xf numFmtId="0" fontId="61" fillId="0" borderId="17" xfId="11" applyFont="1" applyBorder="1" applyAlignment="1">
      <alignment horizontal="center" vertical="center"/>
    </xf>
    <xf numFmtId="0" fontId="61" fillId="0" borderId="16" xfId="11" applyFont="1" applyBorder="1" applyAlignment="1">
      <alignment horizontal="center" vertical="center"/>
    </xf>
    <xf numFmtId="0" fontId="3" fillId="17" borderId="41" xfId="11" applyFill="1" applyBorder="1" applyAlignment="1">
      <alignment horizontal="center"/>
    </xf>
    <xf numFmtId="0" fontId="3" fillId="17" borderId="40" xfId="11" applyFill="1" applyBorder="1" applyAlignment="1">
      <alignment horizontal="center"/>
    </xf>
    <xf numFmtId="0" fontId="3" fillId="17" borderId="39" xfId="11" applyFill="1" applyBorder="1" applyAlignment="1">
      <alignment horizontal="center"/>
    </xf>
    <xf numFmtId="0" fontId="64" fillId="17" borderId="21" xfId="11" applyFont="1" applyFill="1" applyBorder="1" applyAlignment="1">
      <alignment horizontal="center"/>
    </xf>
    <xf numFmtId="0" fontId="3" fillId="17" borderId="20" xfId="11" applyFill="1" applyBorder="1" applyAlignment="1">
      <alignment horizontal="center"/>
    </xf>
    <xf numFmtId="0" fontId="3" fillId="17" borderId="18" xfId="11" applyFill="1" applyBorder="1" applyAlignment="1">
      <alignment horizontal="center"/>
    </xf>
    <xf numFmtId="0" fontId="3" fillId="17" borderId="0" xfId="11" applyFill="1" applyAlignment="1">
      <alignment horizontal="center"/>
    </xf>
    <xf numFmtId="0" fontId="3" fillId="17" borderId="19" xfId="11" applyFill="1" applyBorder="1" applyAlignment="1">
      <alignment horizontal="center"/>
    </xf>
    <xf numFmtId="0" fontId="64" fillId="7" borderId="46" xfId="11" applyFont="1" applyFill="1" applyBorder="1" applyAlignment="1">
      <alignment horizontal="center"/>
    </xf>
    <xf numFmtId="0" fontId="63" fillId="7" borderId="45" xfId="11" applyFont="1" applyFill="1" applyBorder="1" applyAlignment="1">
      <alignment horizontal="center"/>
    </xf>
    <xf numFmtId="0" fontId="3" fillId="7" borderId="15" xfId="11" applyFill="1" applyBorder="1" applyAlignment="1">
      <alignment horizontal="center"/>
    </xf>
    <xf numFmtId="0" fontId="3" fillId="7" borderId="38" xfId="11" applyFill="1" applyBorder="1" applyAlignment="1">
      <alignment horizontal="center"/>
    </xf>
    <xf numFmtId="0" fontId="3" fillId="7" borderId="14" xfId="11" applyFill="1" applyBorder="1" applyAlignment="1">
      <alignment horizontal="center"/>
    </xf>
    <xf numFmtId="0" fontId="3" fillId="7" borderId="22" xfId="11" applyFill="1" applyBorder="1" applyAlignment="1">
      <alignment horizontal="center"/>
    </xf>
    <xf numFmtId="0" fontId="3" fillId="7" borderId="19" xfId="11" applyFill="1" applyBorder="1" applyAlignment="1">
      <alignment horizontal="center"/>
    </xf>
    <xf numFmtId="0" fontId="3" fillId="7" borderId="31" xfId="11" applyFill="1" applyBorder="1" applyAlignment="1">
      <alignment horizontal="center"/>
    </xf>
    <xf numFmtId="0" fontId="3" fillId="7" borderId="32" xfId="11" applyFill="1" applyBorder="1" applyAlignment="1">
      <alignment horizontal="center"/>
    </xf>
    <xf numFmtId="0" fontId="3" fillId="7" borderId="2" xfId="11" applyFill="1" applyBorder="1" applyAlignment="1">
      <alignment horizontal="center"/>
    </xf>
    <xf numFmtId="0" fontId="3" fillId="7" borderId="33" xfId="11" applyFill="1" applyBorder="1" applyAlignment="1">
      <alignment horizontal="center"/>
    </xf>
    <xf numFmtId="0" fontId="3" fillId="6" borderId="32" xfId="11" applyFill="1" applyBorder="1" applyAlignment="1">
      <alignment horizontal="center"/>
    </xf>
    <xf numFmtId="0" fontId="3" fillId="6" borderId="33" xfId="11" applyFill="1" applyBorder="1" applyAlignment="1">
      <alignment horizontal="center"/>
    </xf>
    <xf numFmtId="0" fontId="61" fillId="6" borderId="19" xfId="11" applyFont="1" applyFill="1" applyBorder="1" applyAlignment="1">
      <alignment horizontal="center" vertical="center"/>
    </xf>
    <xf numFmtId="0" fontId="61" fillId="6" borderId="0" xfId="11" applyFont="1" applyFill="1" applyAlignment="1">
      <alignment horizontal="center" vertical="center"/>
    </xf>
    <xf numFmtId="0" fontId="61" fillId="6" borderId="41" xfId="11" applyFont="1" applyFill="1" applyBorder="1" applyAlignment="1">
      <alignment horizontal="center" vertical="center"/>
    </xf>
    <xf numFmtId="0" fontId="61" fillId="6" borderId="40" xfId="11" applyFont="1" applyFill="1" applyBorder="1" applyAlignment="1">
      <alignment horizontal="center" vertical="center"/>
    </xf>
    <xf numFmtId="0" fontId="2" fillId="6" borderId="32" xfId="11" applyFont="1" applyFill="1" applyBorder="1" applyAlignment="1">
      <alignment horizontal="center"/>
    </xf>
    <xf numFmtId="0" fontId="55" fillId="7" borderId="15" xfId="11" applyFont="1" applyFill="1" applyBorder="1" applyAlignment="1">
      <alignment horizontal="center"/>
    </xf>
    <xf numFmtId="0" fontId="55" fillId="7" borderId="38" xfId="11" applyFont="1" applyFill="1" applyBorder="1" applyAlignment="1">
      <alignment horizontal="center"/>
    </xf>
    <xf numFmtId="0" fontId="55" fillId="7" borderId="14" xfId="11" applyFont="1" applyFill="1" applyBorder="1" applyAlignment="1">
      <alignment horizontal="center"/>
    </xf>
    <xf numFmtId="43" fontId="29" fillId="27" borderId="8" xfId="1" applyFont="1" applyFill="1" applyBorder="1" applyAlignment="1">
      <alignment horizontal="center" vertical="center" wrapText="1"/>
    </xf>
    <xf numFmtId="43" fontId="29" fillId="27" borderId="9" xfId="1" applyFont="1" applyFill="1" applyBorder="1" applyAlignment="1">
      <alignment horizontal="center" vertical="center" wrapText="1"/>
    </xf>
    <xf numFmtId="43" fontId="29" fillId="27" borderId="10" xfId="1" applyFont="1" applyFill="1" applyBorder="1" applyAlignment="1">
      <alignment horizontal="center" vertical="center" wrapText="1"/>
    </xf>
    <xf numFmtId="0" fontId="35" fillId="0" borderId="6" xfId="0" applyFont="1" applyBorder="1" applyAlignment="1" applyProtection="1">
      <alignment horizontal="center" vertical="center"/>
      <protection hidden="1"/>
    </xf>
    <xf numFmtId="0" fontId="35" fillId="0" borderId="0" xfId="0" applyFont="1" applyAlignment="1" applyProtection="1">
      <alignment horizontal="center" vertical="center"/>
      <protection hidden="1"/>
    </xf>
    <xf numFmtId="0" fontId="35" fillId="0" borderId="7" xfId="0" applyFont="1" applyBorder="1" applyAlignment="1" applyProtection="1">
      <alignment horizontal="center" vertical="center"/>
      <protection hidden="1"/>
    </xf>
    <xf numFmtId="0" fontId="35" fillId="0" borderId="6" xfId="0" applyFont="1" applyBorder="1" applyAlignment="1">
      <alignment horizontal="center" vertical="center"/>
    </xf>
    <xf numFmtId="0" fontId="35" fillId="0" borderId="0" xfId="0" applyFont="1" applyAlignment="1">
      <alignment horizontal="center" vertical="center"/>
    </xf>
    <xf numFmtId="0" fontId="35" fillId="0" borderId="7" xfId="0" applyFont="1" applyBorder="1" applyAlignment="1">
      <alignment horizontal="center" vertical="center"/>
    </xf>
    <xf numFmtId="0" fontId="31" fillId="9" borderId="53" xfId="0" applyFont="1" applyFill="1" applyBorder="1" applyAlignment="1">
      <alignment horizontal="center" vertical="center"/>
    </xf>
    <xf numFmtId="0" fontId="9" fillId="0" borderId="0" xfId="0" applyFont="1" applyAlignment="1">
      <alignment horizontal="center"/>
    </xf>
    <xf numFmtId="0" fontId="7" fillId="27" borderId="0" xfId="0" applyFont="1" applyFill="1" applyAlignment="1">
      <alignment horizontal="center" vertical="center"/>
    </xf>
    <xf numFmtId="167" fontId="6" fillId="27" borderId="0" xfId="0" applyNumberFormat="1" applyFont="1" applyFill="1" applyAlignment="1">
      <alignment horizontal="center" vertical="center" wrapText="1"/>
    </xf>
    <xf numFmtId="0" fontId="19" fillId="0" borderId="2" xfId="0" applyFont="1" applyBorder="1" applyAlignment="1">
      <alignment horizontal="center"/>
    </xf>
    <xf numFmtId="0" fontId="7" fillId="27" borderId="0" xfId="0" applyFont="1" applyFill="1" applyAlignment="1">
      <alignment horizontal="center"/>
    </xf>
    <xf numFmtId="0" fontId="27" fillId="0" borderId="0" xfId="0" applyFont="1" applyAlignment="1">
      <alignment horizontal="right"/>
    </xf>
    <xf numFmtId="0" fontId="20" fillId="0" borderId="0" xfId="0" applyFont="1" applyAlignment="1">
      <alignment horizontal="left"/>
    </xf>
    <xf numFmtId="0" fontId="17" fillId="0" borderId="0" xfId="0" applyFont="1" applyAlignment="1">
      <alignment horizontal="left" vertical="top" wrapText="1"/>
    </xf>
    <xf numFmtId="0" fontId="14" fillId="0" borderId="0" xfId="0" applyFont="1" applyAlignment="1">
      <alignment horizontal="left" vertical="top" wrapText="1"/>
    </xf>
    <xf numFmtId="0" fontId="16" fillId="5" borderId="0" xfId="0" applyFont="1" applyFill="1" applyAlignment="1">
      <alignment horizontal="center"/>
    </xf>
    <xf numFmtId="0" fontId="18" fillId="0" borderId="0" xfId="0" applyFont="1" applyAlignment="1">
      <alignment horizontal="left" vertical="top" wrapText="1"/>
    </xf>
    <xf numFmtId="0" fontId="40" fillId="0" borderId="30" xfId="0" applyFont="1" applyBorder="1" applyAlignment="1">
      <alignment horizontal="center" wrapText="1"/>
    </xf>
    <xf numFmtId="0" fontId="39" fillId="0" borderId="0" xfId="0" applyFont="1" applyAlignment="1">
      <alignment horizontal="center" wrapText="1"/>
    </xf>
    <xf numFmtId="1" fontId="51" fillId="0" borderId="0" xfId="0" applyNumberFormat="1" applyFont="1" applyAlignment="1">
      <alignment horizontal="center" vertical="center"/>
    </xf>
    <xf numFmtId="0" fontId="38" fillId="0" borderId="31" xfId="0" applyFont="1" applyBorder="1" applyAlignment="1">
      <alignment horizontal="center" vertical="center"/>
    </xf>
    <xf numFmtId="0" fontId="38" fillId="0" borderId="32" xfId="0" applyFont="1" applyBorder="1" applyAlignment="1">
      <alignment horizontal="center" vertical="center"/>
    </xf>
    <xf numFmtId="0" fontId="38" fillId="0" borderId="33" xfId="0" applyFont="1" applyBorder="1" applyAlignment="1">
      <alignment horizontal="center" vertical="center"/>
    </xf>
    <xf numFmtId="0" fontId="36" fillId="0" borderId="0" xfId="0" applyFont="1" applyAlignment="1">
      <alignment horizontal="center"/>
    </xf>
    <xf numFmtId="0" fontId="50" fillId="0" borderId="30" xfId="0" applyFont="1" applyBorder="1" applyAlignment="1">
      <alignment horizontal="center"/>
    </xf>
    <xf numFmtId="0" fontId="50" fillId="0" borderId="0" xfId="0" applyFont="1" applyAlignment="1">
      <alignment horizontal="center"/>
    </xf>
    <xf numFmtId="1" fontId="36" fillId="0" borderId="0" xfId="0" applyNumberFormat="1" applyFont="1" applyAlignment="1">
      <alignment horizontal="center"/>
    </xf>
  </cellXfs>
  <cellStyles count="14">
    <cellStyle name="Comma" xfId="1" builtinId="3"/>
    <cellStyle name="Comma 2" xfId="8" xr:uid="{B0440B08-C2CC-458A-94CB-E37BD61D540F}"/>
    <cellStyle name="Currency" xfId="2" builtinId="4"/>
    <cellStyle name="Currency 2" xfId="6" xr:uid="{C5352BEF-6085-4F15-9CC5-D75509B4F03C}"/>
    <cellStyle name="Currency 3" xfId="12" xr:uid="{669D9599-0779-4498-A5C0-81B83763568C}"/>
    <cellStyle name="Good" xfId="10" builtinId="26"/>
    <cellStyle name="Hyperlink" xfId="5" builtinId="8"/>
    <cellStyle name="Normal" xfId="0" builtinId="0"/>
    <cellStyle name="Normal 2" xfId="4" xr:uid="{0747ADBE-6160-411C-BE09-FC41D28D006D}"/>
    <cellStyle name="Normal 2 2" xfId="9" xr:uid="{BB3C26BB-6A27-4C36-8B30-7AA0F6079AAC}"/>
    <cellStyle name="Normal 3" xfId="11" xr:uid="{0EEEDFD4-0D8F-4AFB-9857-6188E99B219B}"/>
    <cellStyle name="Percent" xfId="3" builtinId="5"/>
    <cellStyle name="Percent 2" xfId="7" xr:uid="{EE53F09D-CFE4-4C1C-A852-18D5C9500DC0}"/>
    <cellStyle name="Percent 3" xfId="13" xr:uid="{6956020A-C988-4B1E-892D-698B72A06056}"/>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Medium7"/>
  <colors>
    <mruColors>
      <color rgb="FF339933"/>
      <color rgb="FF33CC33"/>
      <color rgb="FF00CC00"/>
      <color rgb="FF339966"/>
      <color rgb="FF008080"/>
      <color rgb="FF66FF33"/>
      <color rgb="FF006666"/>
      <color rgb="FF736860"/>
      <color rgb="FFD35E13"/>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jpe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8</xdr:col>
      <xdr:colOff>333375</xdr:colOff>
      <xdr:row>32</xdr:row>
      <xdr:rowOff>0</xdr:rowOff>
    </xdr:from>
    <xdr:ext cx="65" cy="172227"/>
    <xdr:sp macro="" textlink="">
      <xdr:nvSpPr>
        <xdr:cNvPr id="2" name="TextBox 1">
          <a:extLst>
            <a:ext uri="{FF2B5EF4-FFF2-40B4-BE49-F238E27FC236}">
              <a16:creationId xmlns:a16="http://schemas.microsoft.com/office/drawing/2014/main" id="{36849165-5A2C-4BFB-847F-1C92C7252A07}"/>
            </a:ext>
          </a:extLst>
        </xdr:cNvPr>
        <xdr:cNvSpPr txBox="1"/>
      </xdr:nvSpPr>
      <xdr:spPr>
        <a:xfrm>
          <a:off x="6162675" y="6696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8</xdr:col>
      <xdr:colOff>333375</xdr:colOff>
      <xdr:row>38</xdr:row>
      <xdr:rowOff>0</xdr:rowOff>
    </xdr:from>
    <xdr:ext cx="65" cy="172227"/>
    <xdr:sp macro="" textlink="">
      <xdr:nvSpPr>
        <xdr:cNvPr id="3" name="TextBox 2">
          <a:extLst>
            <a:ext uri="{FF2B5EF4-FFF2-40B4-BE49-F238E27FC236}">
              <a16:creationId xmlns:a16="http://schemas.microsoft.com/office/drawing/2014/main" id="{141DDC0A-5F8A-4790-8B76-BE815DE59C7A}"/>
            </a:ext>
          </a:extLst>
        </xdr:cNvPr>
        <xdr:cNvSpPr txBox="1"/>
      </xdr:nvSpPr>
      <xdr:spPr>
        <a:xfrm>
          <a:off x="6162675" y="77819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9</xdr:col>
      <xdr:colOff>0</xdr:colOff>
      <xdr:row>51</xdr:row>
      <xdr:rowOff>0</xdr:rowOff>
    </xdr:from>
    <xdr:ext cx="304800" cy="304800"/>
    <xdr:sp macro="" textlink="">
      <xdr:nvSpPr>
        <xdr:cNvPr id="4" name="AutoShape 15">
          <a:extLst>
            <a:ext uri="{FF2B5EF4-FFF2-40B4-BE49-F238E27FC236}">
              <a16:creationId xmlns:a16="http://schemas.microsoft.com/office/drawing/2014/main" id="{70F3F66A-9B8F-4A6D-BEEE-7D3268D40E71}"/>
            </a:ext>
          </a:extLst>
        </xdr:cNvPr>
        <xdr:cNvSpPr>
          <a:spLocks noChangeAspect="1" noChangeArrowheads="1"/>
        </xdr:cNvSpPr>
      </xdr:nvSpPr>
      <xdr:spPr bwMode="auto">
        <a:xfrm>
          <a:off x="6477000" y="8324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49</xdr:row>
      <xdr:rowOff>0</xdr:rowOff>
    </xdr:from>
    <xdr:ext cx="304800" cy="304800"/>
    <xdr:sp macro="" textlink="">
      <xdr:nvSpPr>
        <xdr:cNvPr id="5" name="AutoShape 17">
          <a:extLst>
            <a:ext uri="{FF2B5EF4-FFF2-40B4-BE49-F238E27FC236}">
              <a16:creationId xmlns:a16="http://schemas.microsoft.com/office/drawing/2014/main" id="{38F18E5A-FCB0-44A9-8456-43712EEE5D12}"/>
            </a:ext>
          </a:extLst>
        </xdr:cNvPr>
        <xdr:cNvSpPr>
          <a:spLocks noChangeAspect="1" noChangeArrowheads="1"/>
        </xdr:cNvSpPr>
      </xdr:nvSpPr>
      <xdr:spPr bwMode="auto">
        <a:xfrm>
          <a:off x="6477000" y="7962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31</xdr:row>
      <xdr:rowOff>0</xdr:rowOff>
    </xdr:from>
    <xdr:ext cx="304800" cy="304800"/>
    <xdr:sp macro="" textlink="">
      <xdr:nvSpPr>
        <xdr:cNvPr id="11" name="AutoShape 17">
          <a:extLst>
            <a:ext uri="{FF2B5EF4-FFF2-40B4-BE49-F238E27FC236}">
              <a16:creationId xmlns:a16="http://schemas.microsoft.com/office/drawing/2014/main" id="{BEA10843-1760-4690-8CAE-9E163885B057}"/>
            </a:ext>
          </a:extLst>
        </xdr:cNvPr>
        <xdr:cNvSpPr>
          <a:spLocks noChangeAspect="1" noChangeArrowheads="1"/>
        </xdr:cNvSpPr>
      </xdr:nvSpPr>
      <xdr:spPr bwMode="auto">
        <a:xfrm>
          <a:off x="5792391" y="924520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56</xdr:row>
      <xdr:rowOff>0</xdr:rowOff>
    </xdr:from>
    <xdr:ext cx="304800" cy="304800"/>
    <xdr:sp macro="" textlink="">
      <xdr:nvSpPr>
        <xdr:cNvPr id="13" name="AutoShape 17">
          <a:extLst>
            <a:ext uri="{FF2B5EF4-FFF2-40B4-BE49-F238E27FC236}">
              <a16:creationId xmlns:a16="http://schemas.microsoft.com/office/drawing/2014/main" id="{6EAEF190-5109-4A50-A5C3-D03044FA7155}"/>
            </a:ext>
          </a:extLst>
        </xdr:cNvPr>
        <xdr:cNvSpPr>
          <a:spLocks noChangeAspect="1" noChangeArrowheads="1"/>
        </xdr:cNvSpPr>
      </xdr:nvSpPr>
      <xdr:spPr bwMode="auto">
        <a:xfrm>
          <a:off x="5792391" y="924520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9</xdr:col>
      <xdr:colOff>970412</xdr:colOff>
      <xdr:row>0</xdr:row>
      <xdr:rowOff>154782</xdr:rowOff>
    </xdr:from>
    <xdr:to>
      <xdr:col>11</xdr:col>
      <xdr:colOff>857248</xdr:colOff>
      <xdr:row>7</xdr:row>
      <xdr:rowOff>172641</xdr:rowOff>
    </xdr:to>
    <xdr:pic>
      <xdr:nvPicPr>
        <xdr:cNvPr id="14" name="Picture 13">
          <a:extLst>
            <a:ext uri="{FF2B5EF4-FFF2-40B4-BE49-F238E27FC236}">
              <a16:creationId xmlns:a16="http://schemas.microsoft.com/office/drawing/2014/main" id="{C649B154-7615-C6FC-349D-78E03E0DA6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74710" y="154782"/>
          <a:ext cx="2839586" cy="12918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1343025</xdr:colOff>
      <xdr:row>6</xdr:row>
      <xdr:rowOff>76200</xdr:rowOff>
    </xdr:from>
    <xdr:to>
      <xdr:col>6</xdr:col>
      <xdr:colOff>393700</xdr:colOff>
      <xdr:row>7</xdr:row>
      <xdr:rowOff>229659</xdr:rowOff>
    </xdr:to>
    <xdr:sp macro="" textlink="">
      <xdr:nvSpPr>
        <xdr:cNvPr id="4" name="TextBox 3">
          <a:extLst>
            <a:ext uri="{FF2B5EF4-FFF2-40B4-BE49-F238E27FC236}">
              <a16:creationId xmlns:a16="http://schemas.microsoft.com/office/drawing/2014/main" id="{982EFAB5-6BAC-4183-B17C-6FEA07013C53}"/>
            </a:ext>
          </a:extLst>
        </xdr:cNvPr>
        <xdr:cNvSpPr txBox="1"/>
      </xdr:nvSpPr>
      <xdr:spPr>
        <a:xfrm>
          <a:off x="1943100" y="1162050"/>
          <a:ext cx="2336800" cy="286809"/>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000" b="1" i="1" u="none">
              <a:solidFill>
                <a:schemeClr val="tx1">
                  <a:lumMod val="65000"/>
                  <a:lumOff val="35000"/>
                </a:schemeClr>
              </a:solidFill>
            </a:rPr>
            <a:t>DEALER</a:t>
          </a:r>
          <a:r>
            <a:rPr lang="en-US" sz="1800" b="1" i="1" baseline="0"/>
            <a:t> </a:t>
          </a:r>
          <a:r>
            <a:rPr lang="en-US" sz="1800" b="1" i="1"/>
            <a:t>Twine Cost Comparison Calculator</a:t>
          </a:r>
        </a:p>
      </xdr:txBody>
    </xdr:sp>
    <xdr:clientData/>
  </xdr:twoCellAnchor>
  <xdr:twoCellAnchor editAs="oneCell">
    <xdr:from>
      <xdr:col>3</xdr:col>
      <xdr:colOff>762000</xdr:colOff>
      <xdr:row>0</xdr:row>
      <xdr:rowOff>86591</xdr:rowOff>
    </xdr:from>
    <xdr:to>
      <xdr:col>5</xdr:col>
      <xdr:colOff>1164648</xdr:colOff>
      <xdr:row>6</xdr:row>
      <xdr:rowOff>20513</xdr:rowOff>
    </xdr:to>
    <xdr:pic>
      <xdr:nvPicPr>
        <xdr:cNvPr id="6" name="Picture 5">
          <a:extLst>
            <a:ext uri="{FF2B5EF4-FFF2-40B4-BE49-F238E27FC236}">
              <a16:creationId xmlns:a16="http://schemas.microsoft.com/office/drawing/2014/main" id="{DABD10D8-D624-4E51-8DD2-8BEF7AC82F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8194" y="86591"/>
          <a:ext cx="2138795" cy="9730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1412876</xdr:colOff>
      <xdr:row>8</xdr:row>
      <xdr:rowOff>25400</xdr:rowOff>
    </xdr:from>
    <xdr:to>
      <xdr:col>6</xdr:col>
      <xdr:colOff>463551</xdr:colOff>
      <xdr:row>9</xdr:row>
      <xdr:rowOff>178859</xdr:rowOff>
    </xdr:to>
    <xdr:sp macro="" textlink="">
      <xdr:nvSpPr>
        <xdr:cNvPr id="6" name="TextBox 5">
          <a:extLst>
            <a:ext uri="{FF2B5EF4-FFF2-40B4-BE49-F238E27FC236}">
              <a16:creationId xmlns:a16="http://schemas.microsoft.com/office/drawing/2014/main" id="{91105314-2BE5-4C49-84B3-28209A0DAE3D}"/>
            </a:ext>
          </a:extLst>
        </xdr:cNvPr>
        <xdr:cNvSpPr txBox="1"/>
      </xdr:nvSpPr>
      <xdr:spPr>
        <a:xfrm>
          <a:off x="2365376" y="11593513"/>
          <a:ext cx="4875213" cy="329671"/>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1">
              <a:solidFill>
                <a:schemeClr val="tx1">
                  <a:lumMod val="75000"/>
                </a:schemeClr>
              </a:solidFill>
            </a:rPr>
            <a:t>END USER Twine Cost Comparison Calculator</a:t>
          </a:r>
        </a:p>
      </xdr:txBody>
    </xdr:sp>
    <xdr:clientData/>
  </xdr:twoCellAnchor>
  <xdr:twoCellAnchor editAs="oneCell">
    <xdr:from>
      <xdr:col>3</xdr:col>
      <xdr:colOff>552450</xdr:colOff>
      <xdr:row>0</xdr:row>
      <xdr:rowOff>171450</xdr:rowOff>
    </xdr:from>
    <xdr:to>
      <xdr:col>5</xdr:col>
      <xdr:colOff>1572761</xdr:colOff>
      <xdr:row>7</xdr:row>
      <xdr:rowOff>129778</xdr:rowOff>
    </xdr:to>
    <xdr:pic>
      <xdr:nvPicPr>
        <xdr:cNvPr id="2" name="Picture 1">
          <a:extLst>
            <a:ext uri="{FF2B5EF4-FFF2-40B4-BE49-F238E27FC236}">
              <a16:creationId xmlns:a16="http://schemas.microsoft.com/office/drawing/2014/main" id="{D8C6B021-B384-402A-851D-0BF5481090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71813" y="171450"/>
          <a:ext cx="2839586" cy="12918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752474</xdr:colOff>
      <xdr:row>0</xdr:row>
      <xdr:rowOff>52388</xdr:rowOff>
    </xdr:from>
    <xdr:to>
      <xdr:col>4</xdr:col>
      <xdr:colOff>3805237</xdr:colOff>
      <xdr:row>3</xdr:row>
      <xdr:rowOff>16500</xdr:rowOff>
    </xdr:to>
    <xdr:pic>
      <xdr:nvPicPr>
        <xdr:cNvPr id="3" name="Picture 3" descr="A picture containing outdoor, sky, field&#10;&#10;Description automatically generated">
          <a:extLst>
            <a:ext uri="{FF2B5EF4-FFF2-40B4-BE49-F238E27FC236}">
              <a16:creationId xmlns:a16="http://schemas.microsoft.com/office/drawing/2014/main" id="{F977BDB7-36BA-418F-8E75-F540D791885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9209" b="34695"/>
        <a:stretch/>
      </xdr:blipFill>
      <xdr:spPr>
        <a:xfrm>
          <a:off x="752474" y="52388"/>
          <a:ext cx="8843963" cy="1759575"/>
        </a:xfrm>
        <a:prstGeom prst="rect">
          <a:avLst/>
        </a:prstGeom>
      </xdr:spPr>
    </xdr:pic>
    <xdr:clientData/>
  </xdr:twoCellAnchor>
  <xdr:twoCellAnchor>
    <xdr:from>
      <xdr:col>1</xdr:col>
      <xdr:colOff>251012</xdr:colOff>
      <xdr:row>1</xdr:row>
      <xdr:rowOff>744071</xdr:rowOff>
    </xdr:from>
    <xdr:to>
      <xdr:col>1</xdr:col>
      <xdr:colOff>1990165</xdr:colOff>
      <xdr:row>2</xdr:row>
      <xdr:rowOff>286871</xdr:rowOff>
    </xdr:to>
    <xdr:sp macro="" textlink="">
      <xdr:nvSpPr>
        <xdr:cNvPr id="2" name="Rectangle 1">
          <a:extLst>
            <a:ext uri="{FF2B5EF4-FFF2-40B4-BE49-F238E27FC236}">
              <a16:creationId xmlns:a16="http://schemas.microsoft.com/office/drawing/2014/main" id="{6CE1BEDD-E1D4-E5B6-36EB-22F5615900C2}"/>
            </a:ext>
          </a:extLst>
        </xdr:cNvPr>
        <xdr:cNvSpPr/>
      </xdr:nvSpPr>
      <xdr:spPr>
        <a:xfrm>
          <a:off x="986118" y="744071"/>
          <a:ext cx="1739153" cy="842682"/>
        </a:xfrm>
        <a:prstGeom prst="rect">
          <a:avLst/>
        </a:prstGeom>
        <a:solidFill>
          <a:schemeClr val="bg1">
            <a:alpha val="2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433668</xdr:colOff>
      <xdr:row>1</xdr:row>
      <xdr:rowOff>659426</xdr:rowOff>
    </xdr:from>
    <xdr:to>
      <xdr:col>1</xdr:col>
      <xdr:colOff>1743075</xdr:colOff>
      <xdr:row>1</xdr:row>
      <xdr:rowOff>1255121</xdr:rowOff>
    </xdr:to>
    <xdr:pic>
      <xdr:nvPicPr>
        <xdr:cNvPr id="4" name="Picture 3">
          <a:extLst>
            <a:ext uri="{FF2B5EF4-FFF2-40B4-BE49-F238E27FC236}">
              <a16:creationId xmlns:a16="http://schemas.microsoft.com/office/drawing/2014/main" id="{59C7FEE0-CB20-4911-87BF-42268DBE83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86143" y="854689"/>
          <a:ext cx="1309407" cy="5956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900952</xdr:colOff>
      <xdr:row>28</xdr:row>
      <xdr:rowOff>136713</xdr:rowOff>
    </xdr:from>
    <xdr:to>
      <xdr:col>2</xdr:col>
      <xdr:colOff>1694610</xdr:colOff>
      <xdr:row>35</xdr:row>
      <xdr:rowOff>128130</xdr:rowOff>
    </xdr:to>
    <xdr:pic>
      <xdr:nvPicPr>
        <xdr:cNvPr id="3" name="Image 2">
          <a:extLst>
            <a:ext uri="{FF2B5EF4-FFF2-40B4-BE49-F238E27FC236}">
              <a16:creationId xmlns:a16="http://schemas.microsoft.com/office/drawing/2014/main" id="{3229A4D4-EFE2-41A2-881F-3012FE6714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1746" y="7330889"/>
          <a:ext cx="3558989" cy="1324917"/>
        </a:xfrm>
        <a:prstGeom prst="rect">
          <a:avLst/>
        </a:prstGeom>
      </xdr:spPr>
    </xdr:pic>
    <xdr:clientData/>
  </xdr:twoCellAnchor>
  <xdr:twoCellAnchor editAs="oneCell">
    <xdr:from>
      <xdr:col>1</xdr:col>
      <xdr:colOff>0</xdr:colOff>
      <xdr:row>0</xdr:row>
      <xdr:rowOff>0</xdr:rowOff>
    </xdr:from>
    <xdr:to>
      <xdr:col>6</xdr:col>
      <xdr:colOff>2124</xdr:colOff>
      <xdr:row>1</xdr:row>
      <xdr:rowOff>314325</xdr:rowOff>
    </xdr:to>
    <xdr:pic>
      <xdr:nvPicPr>
        <xdr:cNvPr id="4" name="Picture 3" descr="A picture containing outdoor, sky, field&#10;&#10;Description automatically generated">
          <a:extLst>
            <a:ext uri="{FF2B5EF4-FFF2-40B4-BE49-F238E27FC236}">
              <a16:creationId xmlns:a16="http://schemas.microsoft.com/office/drawing/2014/main" id="{F52A96BC-FA0C-4E2E-B521-BAF47A5E154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9209" b="37381"/>
        <a:stretch>
          <a:fillRect/>
        </a:stretch>
      </xdr:blipFill>
      <xdr:spPr>
        <a:xfrm>
          <a:off x="752475" y="0"/>
          <a:ext cx="7541162" cy="1609725"/>
        </a:xfrm>
        <a:prstGeom prst="rect">
          <a:avLst/>
        </a:prstGeom>
      </xdr:spPr>
    </xdr:pic>
    <xdr:clientData/>
  </xdr:twoCellAnchor>
  <xdr:twoCellAnchor editAs="oneCell">
    <xdr:from>
      <xdr:col>1</xdr:col>
      <xdr:colOff>300038</xdr:colOff>
      <xdr:row>0</xdr:row>
      <xdr:rowOff>647700</xdr:rowOff>
    </xdr:from>
    <xdr:to>
      <xdr:col>1</xdr:col>
      <xdr:colOff>1609445</xdr:colOff>
      <xdr:row>0</xdr:row>
      <xdr:rowOff>1243395</xdr:rowOff>
    </xdr:to>
    <xdr:pic>
      <xdr:nvPicPr>
        <xdr:cNvPr id="5" name="Picture 4">
          <a:extLst>
            <a:ext uri="{FF2B5EF4-FFF2-40B4-BE49-F238E27FC236}">
              <a16:creationId xmlns:a16="http://schemas.microsoft.com/office/drawing/2014/main" id="{25A2C9AB-308C-45D5-B69D-87A1F551E3F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52513" y="647700"/>
          <a:ext cx="1309407" cy="595695"/>
        </a:xfrm>
        <a:prstGeom prst="rect">
          <a:avLst/>
        </a:prstGeom>
      </xdr:spPr>
    </xdr:pic>
    <xdr:clientData/>
  </xdr:twoCellAnchor>
  <xdr:twoCellAnchor editAs="oneCell">
    <xdr:from>
      <xdr:col>1</xdr:col>
      <xdr:colOff>2571751</xdr:colOff>
      <xdr:row>22</xdr:row>
      <xdr:rowOff>180976</xdr:rowOff>
    </xdr:from>
    <xdr:to>
      <xdr:col>2</xdr:col>
      <xdr:colOff>1855525</xdr:colOff>
      <xdr:row>27</xdr:row>
      <xdr:rowOff>152784</xdr:rowOff>
    </xdr:to>
    <xdr:pic>
      <xdr:nvPicPr>
        <xdr:cNvPr id="8" name="Picture 7">
          <a:extLst>
            <a:ext uri="{FF2B5EF4-FFF2-40B4-BE49-F238E27FC236}">
              <a16:creationId xmlns:a16="http://schemas.microsoft.com/office/drawing/2014/main" id="{B3CE1180-F66A-4A98-89A3-E247DD9D3C0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324226" y="6396039"/>
          <a:ext cx="2031737" cy="9243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355674</xdr:colOff>
      <xdr:row>8</xdr:row>
      <xdr:rowOff>127019</xdr:rowOff>
    </xdr:to>
    <xdr:pic>
      <xdr:nvPicPr>
        <xdr:cNvPr id="2" name="Picture 3" descr="A picture containing outdoor, sky, field&#10;&#10;Description automatically generated">
          <a:extLst>
            <a:ext uri="{FF2B5EF4-FFF2-40B4-BE49-F238E27FC236}">
              <a16:creationId xmlns:a16="http://schemas.microsoft.com/office/drawing/2014/main" id="{C49208E3-FD87-4D3A-B134-0EA9BBF1C09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9209" b="34695"/>
        <a:stretch/>
      </xdr:blipFill>
      <xdr:spPr>
        <a:xfrm>
          <a:off x="0" y="0"/>
          <a:ext cx="10856886" cy="2258036"/>
        </a:xfrm>
        <a:prstGeom prst="rect">
          <a:avLst/>
        </a:prstGeom>
      </xdr:spPr>
    </xdr:pic>
    <xdr:clientData/>
  </xdr:twoCellAnchor>
  <xdr:twoCellAnchor>
    <xdr:from>
      <xdr:col>0</xdr:col>
      <xdr:colOff>8965</xdr:colOff>
      <xdr:row>19</xdr:row>
      <xdr:rowOff>134472</xdr:rowOff>
    </xdr:from>
    <xdr:to>
      <xdr:col>7</xdr:col>
      <xdr:colOff>896471</xdr:colOff>
      <xdr:row>20</xdr:row>
      <xdr:rowOff>9861</xdr:rowOff>
    </xdr:to>
    <xdr:sp macro="" textlink="">
      <xdr:nvSpPr>
        <xdr:cNvPr id="4" name="Rectangle 3">
          <a:extLst>
            <a:ext uri="{FF2B5EF4-FFF2-40B4-BE49-F238E27FC236}">
              <a16:creationId xmlns:a16="http://schemas.microsoft.com/office/drawing/2014/main" id="{8E8F2B60-23D4-403B-9FD6-B89D4A6CE57E}"/>
            </a:ext>
          </a:extLst>
        </xdr:cNvPr>
        <xdr:cNvSpPr/>
      </xdr:nvSpPr>
      <xdr:spPr>
        <a:xfrm>
          <a:off x="8965" y="5432613"/>
          <a:ext cx="7288306" cy="45719"/>
        </a:xfrm>
        <a:prstGeom prst="rect">
          <a:avLst/>
        </a:prstGeom>
        <a:gradFill flip="none" rotWithShape="1">
          <a:gsLst>
            <a:gs pos="0">
              <a:srgbClr val="339966"/>
            </a:gs>
            <a:gs pos="74000">
              <a:srgbClr val="00CC00"/>
            </a:gs>
            <a:gs pos="34000">
              <a:srgbClr val="339966">
                <a:lumMod val="83000"/>
                <a:lumOff val="17000"/>
              </a:srgbClr>
            </a:gs>
            <a:gs pos="100000">
              <a:srgbClr val="33CC33"/>
            </a:gs>
          </a:gsLst>
          <a:lin ang="1080000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2</xdr:col>
      <xdr:colOff>769937</xdr:colOff>
      <xdr:row>49</xdr:row>
      <xdr:rowOff>79375</xdr:rowOff>
    </xdr:from>
    <xdr:to>
      <xdr:col>4</xdr:col>
      <xdr:colOff>658664</xdr:colOff>
      <xdr:row>57</xdr:row>
      <xdr:rowOff>51183</xdr:rowOff>
    </xdr:to>
    <xdr:pic>
      <xdr:nvPicPr>
        <xdr:cNvPr id="5" name="Picture 4">
          <a:extLst>
            <a:ext uri="{FF2B5EF4-FFF2-40B4-BE49-F238E27FC236}">
              <a16:creationId xmlns:a16="http://schemas.microsoft.com/office/drawing/2014/main" id="{8066B254-3093-4B36-AF59-0AA5DF8EDF7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87687" y="13485813"/>
          <a:ext cx="3287961" cy="149580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tamaplastic-my.sharepoint.com/personal/matthew_mcwilliams_tama-usa_com/Documents/Desktop/Bridon%20Twine%20Cost%20Calculator%20with%20Bundling%20Option%202024.xlsx" TargetMode="External"/><Relationship Id="rId1" Type="http://schemas.openxmlformats.org/officeDocument/2006/relationships/externalLinkPath" Target="/personal/matthew_mcwilliams_tama-usa_com/Documents/Desktop/Bridon%20Twine%20Cost%20Calculator%20with%20Bundling%20Option%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aler and End User Comparison"/>
      <sheetName val="Data"/>
      <sheetName val="Bundling Comparison"/>
      <sheetName val="Bridon Twine Cost Calculator wi"/>
    </sheetNames>
    <sheetDataSet>
      <sheetData sheetId="0"/>
      <sheetData sheetId="1"/>
      <sheetData sheetId="2"/>
      <sheetData sheetId="3" refreshError="1"/>
    </sheetDataSet>
  </externalBook>
</externalLink>
</file>

<file path=xl/theme/theme1.xml><?xml version="1.0" encoding="utf-8"?>
<a:theme xmlns:a="http://schemas.openxmlformats.org/drawingml/2006/main" name="Theme Tama">
  <a:themeElements>
    <a:clrScheme name="Custom 1">
      <a:dk1>
        <a:srgbClr val="706259"/>
      </a:dk1>
      <a:lt1>
        <a:srgbClr val="FFFFFF"/>
      </a:lt1>
      <a:dk2>
        <a:srgbClr val="CC0000"/>
      </a:dk2>
      <a:lt2>
        <a:srgbClr val="6699FF"/>
      </a:lt2>
      <a:accent1>
        <a:srgbClr val="CC0000"/>
      </a:accent1>
      <a:accent2>
        <a:srgbClr val="706259"/>
      </a:accent2>
      <a:accent3>
        <a:srgbClr val="E66414"/>
      </a:accent3>
      <a:accent4>
        <a:srgbClr val="F8DB02"/>
      </a:accent4>
      <a:accent5>
        <a:srgbClr val="009ABF"/>
      </a:accent5>
      <a:accent6>
        <a:srgbClr val="CDC3BB"/>
      </a:accent6>
      <a:hlink>
        <a:srgbClr val="FF5F00"/>
      </a:hlink>
      <a:folHlink>
        <a:srgbClr val="CDC3BB"/>
      </a:folHlink>
    </a:clrScheme>
    <a:fontScheme name="Tama_Fonts1">
      <a:majorFont>
        <a:latin typeface="Helvetica Neue"/>
        <a:ea typeface=""/>
        <a:cs typeface=""/>
      </a:majorFont>
      <a:minorFont>
        <a:latin typeface="Hackman Medium"/>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Theme Tama" id="{3FBDBC64-C9DD-4C44-93F0-06682A5EC13F}" vid="{52845DF7-9A80-4C50-9C45-FB274F7466C1}"/>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john@tama-usa.com" TargetMode="External"/><Relationship Id="rId2" Type="http://schemas.openxmlformats.org/officeDocument/2006/relationships/hyperlink" Target="mailto:info@bridon-usa.com" TargetMode="External"/><Relationship Id="rId1" Type="http://schemas.openxmlformats.org/officeDocument/2006/relationships/hyperlink" Target="http://www.bridon-usa.co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6C116-DA69-4817-A4E1-00F0D1270F63}">
  <dimension ref="A1:L85"/>
  <sheetViews>
    <sheetView showGridLines="0" topLeftCell="E33" zoomScaleNormal="100" zoomScaleSheetLayoutView="50" workbookViewId="0">
      <selection activeCell="G4" sqref="G4:G5"/>
    </sheetView>
  </sheetViews>
  <sheetFormatPr defaultColWidth="8.77734375" defaultRowHeight="13.5"/>
  <cols>
    <col min="1" max="1" width="3.77734375" style="47" hidden="1" customWidth="1"/>
    <col min="2" max="4" width="0" style="47" hidden="1" customWidth="1"/>
    <col min="5" max="5" width="5.6640625" style="47" customWidth="1"/>
    <col min="6" max="6" width="21.88671875" style="48" customWidth="1"/>
    <col min="7" max="7" width="21.6640625" style="48" customWidth="1"/>
    <col min="8" max="8" width="23.6640625" style="48" customWidth="1"/>
    <col min="9" max="9" width="8.77734375" style="47"/>
    <col min="10" max="12" width="17.21875" style="47" customWidth="1"/>
    <col min="13" max="16384" width="8.77734375" style="47"/>
  </cols>
  <sheetData>
    <row r="1" spans="6:12" ht="14.25" thickBot="1">
      <c r="F1" s="56"/>
    </row>
    <row r="2" spans="6:12" ht="13.5" customHeight="1">
      <c r="F2" s="361" t="s">
        <v>0</v>
      </c>
      <c r="G2" s="362"/>
      <c r="H2" s="363"/>
    </row>
    <row r="3" spans="6:12" ht="13.5" customHeight="1" thickBot="1">
      <c r="F3" s="364"/>
      <c r="G3" s="348"/>
      <c r="H3" s="365"/>
    </row>
    <row r="4" spans="6:12" ht="13.9" customHeight="1">
      <c r="F4" s="382" t="s">
        <v>165</v>
      </c>
      <c r="G4" s="384" t="s">
        <v>134</v>
      </c>
      <c r="H4" s="386" t="s">
        <v>1</v>
      </c>
    </row>
    <row r="5" spans="6:12" ht="15" customHeight="1" thickBot="1">
      <c r="F5" s="383"/>
      <c r="G5" s="385"/>
      <c r="H5" s="387"/>
    </row>
    <row r="6" spans="6:12" ht="15" customHeight="1" thickBot="1">
      <c r="F6" s="56"/>
      <c r="J6" s="388"/>
      <c r="K6" s="388"/>
      <c r="L6" s="388"/>
    </row>
    <row r="7" spans="6:12" ht="15" customHeight="1" thickTop="1">
      <c r="F7" s="344" t="s">
        <v>3</v>
      </c>
      <c r="G7" s="345"/>
      <c r="H7" s="346"/>
      <c r="J7" s="391"/>
      <c r="K7" s="391"/>
      <c r="L7" s="391"/>
    </row>
    <row r="8" spans="6:12" ht="15" customHeight="1" thickBot="1">
      <c r="F8" s="347"/>
      <c r="G8" s="348"/>
      <c r="H8" s="349"/>
      <c r="J8" s="391"/>
      <c r="K8" s="391"/>
      <c r="L8" s="391"/>
    </row>
    <row r="9" spans="6:12" ht="15" customHeight="1" thickBot="1">
      <c r="F9" s="242" t="str">
        <f>$F$4</f>
        <v>John Deere</v>
      </c>
      <c r="G9" s="242" t="str">
        <f>$G$4</f>
        <v>Bale Tuff</v>
      </c>
      <c r="H9" s="242" t="str">
        <f>$H$4</f>
        <v>Cordex All Brands</v>
      </c>
    </row>
    <row r="10" spans="6:12" ht="15" customHeight="1" thickTop="1">
      <c r="F10" s="327">
        <v>72</v>
      </c>
      <c r="G10" s="325">
        <f>F10</f>
        <v>72</v>
      </c>
      <c r="H10" s="325">
        <f>F10</f>
        <v>72</v>
      </c>
      <c r="J10" s="344" t="s">
        <v>4</v>
      </c>
      <c r="K10" s="345"/>
      <c r="L10" s="346"/>
    </row>
    <row r="11" spans="6:12" ht="15" customHeight="1" thickBot="1">
      <c r="F11" s="328"/>
      <c r="G11" s="326"/>
      <c r="H11" s="326"/>
      <c r="J11" s="347"/>
      <c r="K11" s="348"/>
      <c r="L11" s="349"/>
    </row>
    <row r="12" spans="6:12" ht="15" customHeight="1" thickBot="1">
      <c r="F12" s="56"/>
      <c r="J12" s="242" t="str">
        <f>$F$4</f>
        <v>John Deere</v>
      </c>
      <c r="K12" s="242" t="str">
        <f>$G$4</f>
        <v>Bale Tuff</v>
      </c>
      <c r="L12" s="242" t="str">
        <f>$H$4</f>
        <v>Cordex All Brands</v>
      </c>
    </row>
    <row r="13" spans="6:12" ht="15" customHeight="1" thickTop="1">
      <c r="F13" s="334" t="s">
        <v>5</v>
      </c>
      <c r="G13" s="335"/>
      <c r="H13" s="336"/>
      <c r="J13" s="389">
        <f>'Net Data'!I81</f>
        <v>2</v>
      </c>
      <c r="K13" s="389">
        <f>'Net Data'!I87</f>
        <v>2.5</v>
      </c>
      <c r="L13" s="389">
        <f>'Net Data'!I93</f>
        <v>3.25</v>
      </c>
    </row>
    <row r="14" spans="6:12" ht="15" customHeight="1" thickBot="1">
      <c r="F14" s="337"/>
      <c r="G14" s="338"/>
      <c r="H14" s="339"/>
      <c r="J14" s="390"/>
      <c r="K14" s="390"/>
      <c r="L14" s="390"/>
    </row>
    <row r="15" spans="6:12" ht="15" customHeight="1" thickBot="1">
      <c r="F15" s="242" t="str">
        <f>$F$4</f>
        <v>John Deere</v>
      </c>
      <c r="G15" s="242" t="str">
        <f>$G$4</f>
        <v>Bale Tuff</v>
      </c>
      <c r="H15" s="242" t="str">
        <f>$H$4</f>
        <v>Cordex All Brands</v>
      </c>
    </row>
    <row r="16" spans="6:12" ht="15" customHeight="1">
      <c r="F16" s="327">
        <v>67</v>
      </c>
      <c r="G16" s="332">
        <f>F16</f>
        <v>67</v>
      </c>
      <c r="H16" s="332">
        <f>F16</f>
        <v>67</v>
      </c>
      <c r="J16" s="367" t="s">
        <v>6</v>
      </c>
      <c r="K16" s="368"/>
      <c r="L16" s="369"/>
    </row>
    <row r="17" spans="6:12" ht="15" customHeight="1" thickBot="1">
      <c r="F17" s="328"/>
      <c r="G17" s="333"/>
      <c r="H17" s="333"/>
      <c r="J17" s="370"/>
      <c r="K17" s="371"/>
      <c r="L17" s="372"/>
    </row>
    <row r="18" spans="6:12" ht="15" customHeight="1" thickBot="1">
      <c r="F18" s="254"/>
      <c r="G18" s="82"/>
      <c r="H18" s="82"/>
      <c r="J18" s="242" t="str">
        <f>$F$4</f>
        <v>John Deere</v>
      </c>
      <c r="K18" s="242" t="str">
        <f>$G$4</f>
        <v>Bale Tuff</v>
      </c>
      <c r="L18" s="242" t="str">
        <f>$H$4</f>
        <v>Cordex All Brands</v>
      </c>
    </row>
    <row r="19" spans="6:12" ht="15" customHeight="1" thickTop="1" thickBot="1">
      <c r="F19" s="334" t="s">
        <v>7</v>
      </c>
      <c r="G19" s="335"/>
      <c r="H19" s="336"/>
      <c r="J19" s="373">
        <f>F28/J25</f>
        <v>6.2893081761006293</v>
      </c>
      <c r="K19" s="373">
        <f>G28/K25</f>
        <v>14.814814814814815</v>
      </c>
      <c r="L19" s="373">
        <f>H28/L25</f>
        <v>19.23076923076923</v>
      </c>
    </row>
    <row r="20" spans="6:12" ht="15" customHeight="1" thickBot="1">
      <c r="F20" s="337"/>
      <c r="G20" s="338"/>
      <c r="H20" s="339"/>
      <c r="J20" s="373"/>
      <c r="K20" s="373"/>
      <c r="L20" s="373"/>
    </row>
    <row r="21" spans="6:12" ht="15" customHeight="1" thickBot="1">
      <c r="F21" s="242" t="str">
        <f>$F$4</f>
        <v>John Deere</v>
      </c>
      <c r="G21" s="242" t="str">
        <f>$G$4</f>
        <v>Bale Tuff</v>
      </c>
      <c r="H21" s="242" t="str">
        <f>$H$4</f>
        <v>Cordex All Brands</v>
      </c>
    </row>
    <row r="22" spans="6:12" ht="15" customHeight="1" thickTop="1">
      <c r="F22" s="340">
        <v>13200</v>
      </c>
      <c r="G22" s="340">
        <v>7000</v>
      </c>
      <c r="H22" s="340">
        <v>7000</v>
      </c>
      <c r="J22" s="376" t="s">
        <v>8</v>
      </c>
      <c r="K22" s="377"/>
      <c r="L22" s="378"/>
    </row>
    <row r="23" spans="6:12" ht="15" customHeight="1" thickBot="1">
      <c r="F23" s="341"/>
      <c r="G23" s="341"/>
      <c r="H23" s="341"/>
      <c r="J23" s="379"/>
      <c r="K23" s="380"/>
      <c r="L23" s="381"/>
    </row>
    <row r="24" spans="6:12" ht="15" customHeight="1" thickBot="1">
      <c r="F24" s="254"/>
      <c r="G24" s="82"/>
      <c r="H24" s="82"/>
      <c r="J24" s="243" t="str">
        <f>$F$4</f>
        <v>John Deere</v>
      </c>
      <c r="K24" s="243" t="str">
        <f>$G$4</f>
        <v>Bale Tuff</v>
      </c>
      <c r="L24" s="243" t="str">
        <f>$H$4</f>
        <v>Cordex All Brands</v>
      </c>
    </row>
    <row r="25" spans="6:12" ht="15" customHeight="1" thickTop="1">
      <c r="F25" s="344" t="s">
        <v>9</v>
      </c>
      <c r="G25" s="345"/>
      <c r="H25" s="346"/>
      <c r="J25" s="359">
        <f>ROUND((-(F22*F52)+F22)/F78,0)</f>
        <v>318</v>
      </c>
      <c r="K25" s="359">
        <f>ROUND((-(G22*G52)+G22)/G78,0)</f>
        <v>135</v>
      </c>
      <c r="L25" s="359">
        <f>ROUND((H22)/H78,0)</f>
        <v>104</v>
      </c>
    </row>
    <row r="26" spans="6:12" ht="15" customHeight="1" thickBot="1">
      <c r="F26" s="347"/>
      <c r="G26" s="348"/>
      <c r="H26" s="349"/>
      <c r="J26" s="360"/>
      <c r="K26" s="360"/>
      <c r="L26" s="360"/>
    </row>
    <row r="27" spans="6:12" ht="15" customHeight="1" thickBot="1">
      <c r="F27" s="242" t="str">
        <f>$F$4</f>
        <v>John Deere</v>
      </c>
      <c r="G27" s="242" t="str">
        <f>$G$4</f>
        <v>Bale Tuff</v>
      </c>
      <c r="H27" s="242" t="str">
        <f>$H$4</f>
        <v>Cordex All Brands</v>
      </c>
      <c r="J27" s="82"/>
      <c r="K27" s="82"/>
      <c r="L27" s="82"/>
    </row>
    <row r="28" spans="6:12" ht="15" customHeight="1" thickTop="1" thickBot="1">
      <c r="F28" s="374">
        <v>2000</v>
      </c>
      <c r="G28" s="332">
        <f>F28</f>
        <v>2000</v>
      </c>
      <c r="H28" s="332">
        <f>F28</f>
        <v>2000</v>
      </c>
      <c r="J28" s="356" t="s">
        <v>10</v>
      </c>
      <c r="K28" s="356"/>
      <c r="L28" s="356"/>
    </row>
    <row r="29" spans="6:12" ht="15" customHeight="1" thickTop="1" thickBot="1">
      <c r="F29" s="375"/>
      <c r="G29" s="333"/>
      <c r="H29" s="333"/>
      <c r="J29" s="356"/>
      <c r="K29" s="356"/>
      <c r="L29" s="356"/>
    </row>
    <row r="30" spans="6:12" ht="15" customHeight="1" thickTop="1" thickBot="1">
      <c r="F30" s="254">
        <v>6</v>
      </c>
      <c r="G30" s="82"/>
      <c r="H30" s="82"/>
      <c r="J30" s="244" t="str">
        <f>$F$4</f>
        <v>John Deere</v>
      </c>
      <c r="K30" s="244" t="str">
        <f>$G$4</f>
        <v>Bale Tuff</v>
      </c>
      <c r="L30" s="244" t="str">
        <f>$H$4</f>
        <v>Cordex All Brands</v>
      </c>
    </row>
    <row r="31" spans="6:12" ht="15" customHeight="1" thickTop="1" thickBot="1">
      <c r="F31" s="334" t="s">
        <v>11</v>
      </c>
      <c r="G31" s="335"/>
      <c r="H31" s="336"/>
      <c r="J31" s="354">
        <f>F78</f>
        <v>41.467800000000004</v>
      </c>
      <c r="K31" s="354">
        <f>G78</f>
        <v>51.834750000000007</v>
      </c>
      <c r="L31" s="354">
        <f>H78</f>
        <v>67.385175000000004</v>
      </c>
    </row>
    <row r="32" spans="6:12" ht="15" customHeight="1" thickTop="1" thickBot="1">
      <c r="F32" s="337"/>
      <c r="G32" s="338"/>
      <c r="H32" s="339"/>
      <c r="J32" s="354"/>
      <c r="K32" s="354"/>
      <c r="L32" s="354"/>
    </row>
    <row r="33" spans="6:12" ht="15" customHeight="1" thickBot="1">
      <c r="F33" s="242" t="str">
        <f>$F$4</f>
        <v>John Deere</v>
      </c>
      <c r="G33" s="242" t="str">
        <f>$G$4</f>
        <v>Bale Tuff</v>
      </c>
      <c r="H33" s="242" t="str">
        <f>$H$4</f>
        <v>Cordex All Brands</v>
      </c>
      <c r="J33" s="55"/>
      <c r="K33" s="55"/>
      <c r="L33" s="55"/>
    </row>
    <row r="34" spans="6:12" ht="15" customHeight="1">
      <c r="F34" s="342">
        <v>90</v>
      </c>
      <c r="G34" s="342">
        <v>130</v>
      </c>
      <c r="H34" s="342">
        <v>82</v>
      </c>
      <c r="J34" s="367" t="s">
        <v>12</v>
      </c>
      <c r="K34" s="368"/>
      <c r="L34" s="369"/>
    </row>
    <row r="35" spans="6:12" ht="15" customHeight="1" thickBot="1">
      <c r="F35" s="343"/>
      <c r="G35" s="343"/>
      <c r="H35" s="343"/>
      <c r="J35" s="370"/>
      <c r="K35" s="371"/>
      <c r="L35" s="372"/>
    </row>
    <row r="36" spans="6:12" ht="15" customHeight="1" thickBot="1">
      <c r="F36" s="82"/>
      <c r="G36" s="82"/>
      <c r="H36" s="82"/>
      <c r="J36" s="242" t="str">
        <f>$F$4</f>
        <v>John Deere</v>
      </c>
      <c r="K36" s="242" t="str">
        <f>$G$4</f>
        <v>Bale Tuff</v>
      </c>
      <c r="L36" s="242" t="str">
        <f>$H$4</f>
        <v>Cordex All Brands</v>
      </c>
    </row>
    <row r="37" spans="6:12" ht="15" customHeight="1" thickTop="1" thickBot="1">
      <c r="F37" s="334" t="s">
        <v>13</v>
      </c>
      <c r="G37" s="335"/>
      <c r="H37" s="336"/>
      <c r="J37" s="366">
        <f>J31*J43</f>
        <v>1.413675</v>
      </c>
      <c r="K37" s="366">
        <f>K31*K43</f>
        <v>1.4809928571428572</v>
      </c>
      <c r="L37" s="366">
        <f>L31*L43</f>
        <v>2.115894495</v>
      </c>
    </row>
    <row r="38" spans="6:12" ht="15" customHeight="1" thickBot="1">
      <c r="F38" s="337"/>
      <c r="G38" s="338"/>
      <c r="H38" s="339"/>
      <c r="J38" s="366"/>
      <c r="K38" s="366"/>
      <c r="L38" s="366"/>
    </row>
    <row r="39" spans="6:12" ht="15" customHeight="1" thickBot="1">
      <c r="F39" s="242" t="str">
        <f>$F$4</f>
        <v>John Deere</v>
      </c>
      <c r="G39" s="242" t="str">
        <f>$G$4</f>
        <v>Bale Tuff</v>
      </c>
      <c r="H39" s="242" t="str">
        <f>$H$4</f>
        <v>Cordex All Brands</v>
      </c>
      <c r="J39" s="55"/>
      <c r="K39" s="55"/>
      <c r="L39" s="55"/>
    </row>
    <row r="40" spans="6:12" ht="15" customHeight="1" thickTop="1" thickBot="1">
      <c r="F40" s="342" t="s">
        <v>14</v>
      </c>
      <c r="G40" s="325" t="str">
        <f>F40</f>
        <v>Grass Hay</v>
      </c>
      <c r="H40" s="325" t="str">
        <f>F40</f>
        <v>Grass Hay</v>
      </c>
      <c r="J40" s="356" t="s">
        <v>15</v>
      </c>
      <c r="K40" s="356"/>
      <c r="L40" s="356"/>
    </row>
    <row r="41" spans="6:12" ht="15" customHeight="1" thickTop="1" thickBot="1">
      <c r="F41" s="343"/>
      <c r="G41" s="326"/>
      <c r="H41" s="326"/>
      <c r="J41" s="356"/>
      <c r="K41" s="356"/>
      <c r="L41" s="356"/>
    </row>
    <row r="42" spans="6:12" ht="15" customHeight="1" thickTop="1" thickBot="1">
      <c r="G42" s="82"/>
      <c r="H42" s="82"/>
      <c r="J42" s="244" t="str">
        <f>$F$4</f>
        <v>John Deere</v>
      </c>
      <c r="K42" s="244" t="str">
        <f>$G$4</f>
        <v>Bale Tuff</v>
      </c>
      <c r="L42" s="244" t="str">
        <f>$H$4</f>
        <v>Cordex All Brands</v>
      </c>
    </row>
    <row r="43" spans="6:12" ht="15" customHeight="1" thickTop="1" thickBot="1">
      <c r="F43" s="344" t="s">
        <v>16</v>
      </c>
      <c r="G43" s="345"/>
      <c r="H43" s="346"/>
      <c r="J43" s="392">
        <f>((F58/(-(F22*F52)+F22)))</f>
        <v>3.4090909090909088E-2</v>
      </c>
      <c r="K43" s="392">
        <f>((G58/(-(G22*G52)+G22)))</f>
        <v>2.8571428571428571E-2</v>
      </c>
      <c r="L43" s="392">
        <f>ROUND(H58/(H22),4)</f>
        <v>3.1399999999999997E-2</v>
      </c>
    </row>
    <row r="44" spans="6:12" ht="15" customHeight="1" thickTop="1" thickBot="1">
      <c r="F44" s="347"/>
      <c r="G44" s="348"/>
      <c r="H44" s="349"/>
      <c r="J44" s="392"/>
      <c r="K44" s="392"/>
      <c r="L44" s="392"/>
    </row>
    <row r="45" spans="6:12" ht="15" customHeight="1" thickTop="1" thickBot="1">
      <c r="F45" s="242" t="str">
        <f>$F$4</f>
        <v>John Deere</v>
      </c>
      <c r="G45" s="242" t="str">
        <f>$G$4</f>
        <v>Bale Tuff</v>
      </c>
      <c r="H45" s="242" t="str">
        <f>$H$4</f>
        <v>Cordex All Brands</v>
      </c>
      <c r="J45" s="55"/>
      <c r="K45" s="55"/>
      <c r="L45" s="55"/>
    </row>
    <row r="46" spans="6:12" ht="15" customHeight="1" thickTop="1" thickBot="1">
      <c r="F46" s="350">
        <v>0</v>
      </c>
      <c r="G46" s="352">
        <v>0</v>
      </c>
      <c r="H46" s="352">
        <v>0</v>
      </c>
      <c r="J46" s="356" t="s">
        <v>17</v>
      </c>
      <c r="K46" s="356"/>
      <c r="L46" s="356"/>
    </row>
    <row r="47" spans="6:12" ht="15" customHeight="1" thickTop="1" thickBot="1">
      <c r="F47" s="351"/>
      <c r="G47" s="353"/>
      <c r="H47" s="353"/>
      <c r="J47" s="356"/>
      <c r="K47" s="356"/>
      <c r="L47" s="356"/>
    </row>
    <row r="48" spans="6:12" ht="15" customHeight="1" thickTop="1" thickBot="1">
      <c r="F48" s="248"/>
      <c r="J48" s="244" t="str">
        <f>$F$4</f>
        <v>John Deere</v>
      </c>
      <c r="K48" s="244" t="str">
        <f>$G$4</f>
        <v>Bale Tuff</v>
      </c>
      <c r="L48" s="244" t="str">
        <f>$H$4</f>
        <v>Cordex All Brands</v>
      </c>
    </row>
    <row r="49" spans="2:12" ht="15" customHeight="1" thickTop="1" thickBot="1">
      <c r="F49" s="344" t="s">
        <v>18</v>
      </c>
      <c r="G49" s="345"/>
      <c r="H49" s="346"/>
      <c r="J49" s="355">
        <f>J19*F58</f>
        <v>2830.1886792452833</v>
      </c>
      <c r="K49" s="355">
        <f>K19*G58</f>
        <v>2962.962962962963</v>
      </c>
      <c r="L49" s="355">
        <f>L19*H58</f>
        <v>4230.7692307692305</v>
      </c>
    </row>
    <row r="50" spans="2:12" ht="15" customHeight="1" thickTop="1" thickBot="1">
      <c r="F50" s="347"/>
      <c r="G50" s="348"/>
      <c r="H50" s="349"/>
      <c r="I50" s="255"/>
      <c r="J50" s="355"/>
      <c r="K50" s="355"/>
      <c r="L50" s="355"/>
    </row>
    <row r="51" spans="2:12" ht="15" customHeight="1" thickTop="1" thickBot="1">
      <c r="F51" s="242" t="str">
        <f>$F$4</f>
        <v>John Deere</v>
      </c>
      <c r="G51" s="242" t="str">
        <f>$G$4</f>
        <v>Bale Tuff</v>
      </c>
      <c r="H51" s="242" t="str">
        <f>$H$4</f>
        <v>Cordex All Brands</v>
      </c>
      <c r="I51" s="255"/>
      <c r="J51" s="55"/>
      <c r="K51" s="55"/>
      <c r="L51" s="55"/>
    </row>
    <row r="52" spans="2:12" ht="15" customHeight="1" thickTop="1" thickBot="1">
      <c r="F52" s="357">
        <v>0</v>
      </c>
      <c r="G52" s="357">
        <v>0</v>
      </c>
      <c r="H52" s="357">
        <v>0</v>
      </c>
      <c r="I52" s="255"/>
      <c r="J52" s="356" t="s">
        <v>253</v>
      </c>
      <c r="K52" s="356"/>
      <c r="L52" s="356"/>
    </row>
    <row r="53" spans="2:12" ht="15" customHeight="1" thickTop="1" thickBot="1">
      <c r="F53" s="358"/>
      <c r="G53" s="358"/>
      <c r="H53" s="358"/>
      <c r="J53" s="356"/>
      <c r="K53" s="356"/>
      <c r="L53" s="356"/>
    </row>
    <row r="54" spans="2:12" ht="18.399999999999999" customHeight="1" thickTop="1" thickBot="1">
      <c r="F54" s="253">
        <v>3</v>
      </c>
      <c r="G54" s="253"/>
      <c r="H54" s="253"/>
      <c r="J54" s="244" t="str">
        <f>$F$4</f>
        <v>John Deere</v>
      </c>
      <c r="K54" s="244" t="str">
        <f>$G$4</f>
        <v>Bale Tuff</v>
      </c>
      <c r="L54" s="244" t="str">
        <f>$H$4</f>
        <v>Cordex All Brands</v>
      </c>
    </row>
    <row r="55" spans="2:12" ht="15.75" customHeight="1" thickTop="1" thickBot="1">
      <c r="F55" s="334" t="s">
        <v>19</v>
      </c>
      <c r="G55" s="335"/>
      <c r="H55" s="336"/>
      <c r="J55" s="354">
        <f>F34*J19</f>
        <v>566.03773584905662</v>
      </c>
      <c r="K55" s="354">
        <f>G34*K19</f>
        <v>1925.9259259259259</v>
      </c>
      <c r="L55" s="354">
        <f>H34*L19</f>
        <v>1576.9230769230769</v>
      </c>
    </row>
    <row r="56" spans="2:12" ht="15.75" customHeight="1" thickTop="1" thickBot="1">
      <c r="F56" s="337"/>
      <c r="G56" s="338"/>
      <c r="H56" s="339"/>
      <c r="J56" s="354"/>
      <c r="K56" s="354"/>
      <c r="L56" s="354"/>
    </row>
    <row r="57" spans="2:12" ht="14.25" customHeight="1" thickBot="1">
      <c r="F57" s="242" t="str">
        <f>$F$4</f>
        <v>John Deere</v>
      </c>
      <c r="G57" s="242" t="str">
        <f>$G$4</f>
        <v>Bale Tuff</v>
      </c>
      <c r="H57" s="242" t="str">
        <f>$H$4</f>
        <v>Cordex All Brands</v>
      </c>
    </row>
    <row r="58" spans="2:12" ht="14.25" customHeight="1">
      <c r="F58" s="330">
        <v>450</v>
      </c>
      <c r="G58" s="330">
        <v>200</v>
      </c>
      <c r="H58" s="330">
        <v>220</v>
      </c>
      <c r="J58" s="57" t="s">
        <v>20</v>
      </c>
      <c r="K58" s="57" t="s">
        <v>21</v>
      </c>
      <c r="L58" s="57" t="s">
        <v>22</v>
      </c>
    </row>
    <row r="59" spans="2:12" ht="13.9" thickBot="1">
      <c r="F59" s="331">
        <v>220</v>
      </c>
      <c r="G59" s="331"/>
      <c r="H59" s="331">
        <v>220</v>
      </c>
    </row>
    <row r="60" spans="2:12" ht="14.25" customHeight="1">
      <c r="F60" s="54">
        <v>190</v>
      </c>
      <c r="G60" s="54"/>
      <c r="H60" s="54"/>
      <c r="J60" s="59" t="s">
        <v>23</v>
      </c>
      <c r="K60" s="59" t="s">
        <v>24</v>
      </c>
      <c r="L60" s="62" t="s">
        <v>25</v>
      </c>
    </row>
    <row r="61" spans="2:12" ht="27.4" customHeight="1">
      <c r="G61" s="54"/>
    </row>
    <row r="62" spans="2:12" ht="13.9" hidden="1">
      <c r="G62" s="54"/>
      <c r="H62" s="54"/>
      <c r="J62" s="61"/>
      <c r="K62" s="64" t="s">
        <v>26</v>
      </c>
    </row>
    <row r="63" spans="2:12" ht="17.649999999999999" hidden="1" customHeight="1">
      <c r="B63" s="329" t="s">
        <v>27</v>
      </c>
      <c r="C63" s="329"/>
      <c r="D63" s="329"/>
      <c r="E63" s="329"/>
      <c r="G63" s="58"/>
    </row>
    <row r="64" spans="2:12" ht="13.9" hidden="1">
      <c r="G64" s="60"/>
      <c r="J64" s="64"/>
    </row>
    <row r="65" spans="2:10" ht="13.9" hidden="1">
      <c r="B65" s="51" t="s">
        <v>28</v>
      </c>
      <c r="F65" s="60"/>
      <c r="G65" s="60"/>
      <c r="H65" s="60"/>
      <c r="J65" s="52"/>
    </row>
    <row r="66" spans="2:10" hidden="1">
      <c r="F66" s="62" t="s">
        <v>29</v>
      </c>
      <c r="G66" s="63"/>
      <c r="H66" s="63" t="s">
        <v>30</v>
      </c>
      <c r="J66" s="52"/>
    </row>
    <row r="67" spans="2:10" hidden="1">
      <c r="F67" s="62"/>
      <c r="G67" s="63"/>
      <c r="H67" s="63"/>
      <c r="J67" s="52"/>
    </row>
    <row r="68" spans="2:10" hidden="1">
      <c r="F68" s="53"/>
      <c r="J68" s="52"/>
    </row>
    <row r="69" spans="2:10" hidden="1">
      <c r="F69" s="53"/>
    </row>
    <row r="70" spans="2:10" hidden="1">
      <c r="F70" s="53"/>
    </row>
    <row r="71" spans="2:10" hidden="1">
      <c r="B71" s="47" t="s">
        <v>31</v>
      </c>
      <c r="F71" s="53"/>
    </row>
    <row r="72" spans="2:10">
      <c r="F72" s="53"/>
    </row>
    <row r="73" spans="2:10">
      <c r="F73" s="53"/>
    </row>
    <row r="76" spans="2:10" ht="29.65">
      <c r="F76" s="245">
        <f>(F10/12)*3.1415*1.1</f>
        <v>20.733900000000002</v>
      </c>
      <c r="G76" s="245">
        <f>(G10/12)*3.1415*1.1</f>
        <v>20.733900000000002</v>
      </c>
      <c r="H76" s="245">
        <f>(H10/12)*3.1415*1.1</f>
        <v>20.733900000000002</v>
      </c>
    </row>
    <row r="77" spans="2:10">
      <c r="F77" s="246"/>
      <c r="G77" s="246"/>
      <c r="H77" s="246"/>
    </row>
    <row r="78" spans="2:10">
      <c r="F78" s="247">
        <f>(F76*(J13+F46))</f>
        <v>41.467800000000004</v>
      </c>
      <c r="G78" s="247">
        <f>(G76*(K13+G46))</f>
        <v>51.834750000000007</v>
      </c>
      <c r="H78" s="247">
        <f>(H76*(L13+H46))</f>
        <v>67.385175000000004</v>
      </c>
    </row>
    <row r="82" spans="6:10">
      <c r="F82" s="50"/>
    </row>
    <row r="83" spans="6:10">
      <c r="H83" s="324"/>
      <c r="I83" s="324"/>
      <c r="J83" s="324"/>
    </row>
    <row r="85" spans="6:10">
      <c r="F85" s="49"/>
    </row>
  </sheetData>
  <sheetProtection algorithmName="SHA-512" hashValue="IQ428zOiwqgmur+TbHymd63YLvcquXwwcUXIy9hYwvfv48gFrzydaDLtg0ZdTWHE0Tst0K5s8HPcZZZsTtfpVg==" saltValue="X8vzJA7UtI8h7NVeXiRG+Q==" spinCount="100000" sheet="1" objects="1" scenarios="1" selectLockedCells="1"/>
  <mergeCells count="76">
    <mergeCell ref="J40:L41"/>
    <mergeCell ref="J43:J44"/>
    <mergeCell ref="K43:K44"/>
    <mergeCell ref="L43:L44"/>
    <mergeCell ref="J46:L47"/>
    <mergeCell ref="J22:L23"/>
    <mergeCell ref="F4:F5"/>
    <mergeCell ref="G4:G5"/>
    <mergeCell ref="H4:H5"/>
    <mergeCell ref="F10:F11"/>
    <mergeCell ref="G10:G11"/>
    <mergeCell ref="H10:H11"/>
    <mergeCell ref="F7:H8"/>
    <mergeCell ref="J6:L6"/>
    <mergeCell ref="J10:L11"/>
    <mergeCell ref="J13:J14"/>
    <mergeCell ref="K13:K14"/>
    <mergeCell ref="L13:L14"/>
    <mergeCell ref="J7:L8"/>
    <mergeCell ref="F2:H3"/>
    <mergeCell ref="F13:H14"/>
    <mergeCell ref="J37:J38"/>
    <mergeCell ref="K37:K38"/>
    <mergeCell ref="L37:L38"/>
    <mergeCell ref="F34:F35"/>
    <mergeCell ref="G34:G35"/>
    <mergeCell ref="H34:H35"/>
    <mergeCell ref="F31:H32"/>
    <mergeCell ref="J16:L17"/>
    <mergeCell ref="J19:J20"/>
    <mergeCell ref="K19:K20"/>
    <mergeCell ref="L19:L20"/>
    <mergeCell ref="F28:F29"/>
    <mergeCell ref="G28:G29"/>
    <mergeCell ref="J34:L35"/>
    <mergeCell ref="H28:H29"/>
    <mergeCell ref="J28:L29"/>
    <mergeCell ref="J31:J32"/>
    <mergeCell ref="K31:K32"/>
    <mergeCell ref="F25:H26"/>
    <mergeCell ref="L31:L32"/>
    <mergeCell ref="L25:L26"/>
    <mergeCell ref="J25:J26"/>
    <mergeCell ref="K25:K26"/>
    <mergeCell ref="F43:H44"/>
    <mergeCell ref="F46:F47"/>
    <mergeCell ref="G46:G47"/>
    <mergeCell ref="H46:H47"/>
    <mergeCell ref="K55:K56"/>
    <mergeCell ref="F49:H50"/>
    <mergeCell ref="J49:J50"/>
    <mergeCell ref="F55:H56"/>
    <mergeCell ref="J55:J56"/>
    <mergeCell ref="J52:L53"/>
    <mergeCell ref="K49:K50"/>
    <mergeCell ref="L49:L50"/>
    <mergeCell ref="L55:L56"/>
    <mergeCell ref="F52:F53"/>
    <mergeCell ref="G52:G53"/>
    <mergeCell ref="H52:H53"/>
    <mergeCell ref="H83:J83"/>
    <mergeCell ref="G40:G41"/>
    <mergeCell ref="H40:H41"/>
    <mergeCell ref="F16:F17"/>
    <mergeCell ref="B63:E63"/>
    <mergeCell ref="F58:F59"/>
    <mergeCell ref="G58:G59"/>
    <mergeCell ref="H58:H59"/>
    <mergeCell ref="G16:G17"/>
    <mergeCell ref="H16:H17"/>
    <mergeCell ref="F19:H20"/>
    <mergeCell ref="F22:F23"/>
    <mergeCell ref="G22:G23"/>
    <mergeCell ref="H22:H23"/>
    <mergeCell ref="F37:H38"/>
    <mergeCell ref="F40:F41"/>
  </mergeCells>
  <dataValidations count="1">
    <dataValidation showInputMessage="1" showErrorMessage="1" sqref="G16:G17 H16:H17" xr:uid="{0489C2C5-1901-48F5-93E0-CE5D53694A9A}"/>
  </dataValidations>
  <hyperlinks>
    <hyperlink ref="F66" r:id="rId1" xr:uid="{4DCBA4F1-2715-4A76-9E8E-3D7078A706F2}"/>
    <hyperlink ref="K62" r:id="rId2" xr:uid="{B15AEF3A-A9BE-4DBD-A6D3-3E10FFA577F6}"/>
    <hyperlink ref="L60" r:id="rId3" xr:uid="{5F388272-E6DA-417C-996D-850AB75EC274}"/>
  </hyperlinks>
  <pageMargins left="0.7" right="0.7" top="0.75" bottom="0.75" header="0.3" footer="0.3"/>
  <pageSetup scale="59" orientation="portrait" r:id="rId4"/>
  <ignoredErrors>
    <ignoredError sqref="G28:H28 G40:H40" unlockedFormula="1"/>
  </ignoredErrors>
  <drawing r:id="rId5"/>
  <extLst>
    <ext xmlns:x14="http://schemas.microsoft.com/office/spreadsheetml/2009/9/main" uri="{CCE6A557-97BC-4b89-ADB6-D9C93CAAB3DF}">
      <x14:dataValidations xmlns:xm="http://schemas.microsoft.com/office/excel/2006/main" count="7">
        <x14:dataValidation type="list" allowBlank="1" showInputMessage="1" showErrorMessage="1" xr:uid="{14AEC654-4C4C-48D0-B974-E95F57B56619}">
          <x14:formula1>
            <xm:f>'Net Data'!$E$49:$I$49</xm:f>
          </x14:formula1>
          <xm:sqref>F40:F41</xm:sqref>
        </x14:dataValidation>
        <x14:dataValidation type="list" showInputMessage="1" showErrorMessage="1" xr:uid="{80F14F30-439E-4CA9-B9A7-5F65B32870E3}">
          <x14:formula1>
            <xm:f>'Net Data'!$C$4:$C$7</xm:f>
          </x14:formula1>
          <xm:sqref>F16:F17</xm:sqref>
        </x14:dataValidation>
        <x14:dataValidation type="list" showInputMessage="1" showErrorMessage="1" xr:uid="{2A525733-A08E-422C-AF81-7F698D2C67C8}">
          <x14:formula1>
            <xm:f>'Net Data'!$D$4:$D$18</xm:f>
          </x14:formula1>
          <xm:sqref>F22:H23</xm:sqref>
        </x14:dataValidation>
        <x14:dataValidation type="list" showInputMessage="1" showErrorMessage="1" xr:uid="{62F15044-FE43-4675-8F50-EB04A62589FF}">
          <x14:formula1>
            <xm:f>'Net Data'!$B$4:$B$16</xm:f>
          </x14:formula1>
          <xm:sqref>F10:F11</xm:sqref>
        </x14:dataValidation>
        <x14:dataValidation type="list" showInputMessage="1" showErrorMessage="1" xr:uid="{F984CC3B-2F64-4B7F-9BAA-087FF8FB2403}">
          <x14:formula1>
            <xm:f>'Net Data'!$N$4:$N$42</xm:f>
          </x14:formula1>
          <xm:sqref>H4:H5</xm:sqref>
        </x14:dataValidation>
        <x14:dataValidation type="list" showInputMessage="1" showErrorMessage="1" xr:uid="{92DEBFA8-F2B5-4D50-9FCF-45489AAC9446}">
          <x14:formula1>
            <xm:f>'Net Data'!$L$4:$L$43</xm:f>
          </x14:formula1>
          <xm:sqref>F4:F5</xm:sqref>
        </x14:dataValidation>
        <x14:dataValidation type="list" showInputMessage="1" showErrorMessage="1" xr:uid="{100F17BF-8744-40C0-A448-5DAE114C5B73}">
          <x14:formula1>
            <xm:f>'Net Data'!$M$4:$M$42</xm:f>
          </x14:formula1>
          <xm:sqref>G4:G5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E330A-F498-4308-A386-0286E55ABA97}">
  <dimension ref="A2:N330"/>
  <sheetViews>
    <sheetView topLeftCell="C1" zoomScale="70" zoomScaleNormal="70" workbookViewId="0">
      <selection activeCell="F161" sqref="F161"/>
    </sheetView>
  </sheetViews>
  <sheetFormatPr defaultRowHeight="15"/>
  <cols>
    <col min="1" max="1" width="11.44140625" customWidth="1"/>
    <col min="2" max="2" width="13.21875" customWidth="1"/>
    <col min="3" max="3" width="13.6640625" customWidth="1"/>
    <col min="4" max="4" width="16.44140625" customWidth="1"/>
    <col min="5" max="5" width="20.44140625" customWidth="1"/>
    <col min="6" max="6" width="18.77734375" style="74" customWidth="1"/>
    <col min="7" max="7" width="18.21875" customWidth="1"/>
    <col min="8" max="8" width="39" customWidth="1"/>
    <col min="9" max="10" width="16.77734375" customWidth="1"/>
    <col min="11" max="11" width="21.77734375" customWidth="1"/>
    <col min="12" max="12" width="19.77734375" customWidth="1"/>
    <col min="13" max="13" width="20.44140625" customWidth="1"/>
    <col min="14" max="14" width="20.5546875" customWidth="1"/>
  </cols>
  <sheetData>
    <row r="2" spans="2:14">
      <c r="I2" t="s">
        <v>116</v>
      </c>
      <c r="J2" t="s">
        <v>117</v>
      </c>
      <c r="K2" t="s">
        <v>118</v>
      </c>
    </row>
    <row r="3" spans="2:14">
      <c r="B3" t="s">
        <v>119</v>
      </c>
      <c r="C3" t="s">
        <v>120</v>
      </c>
      <c r="D3" t="s">
        <v>121</v>
      </c>
      <c r="E3" t="s">
        <v>122</v>
      </c>
      <c r="F3" s="74" t="s">
        <v>123</v>
      </c>
      <c r="G3" t="s">
        <v>124</v>
      </c>
      <c r="H3" s="74" t="s">
        <v>125</v>
      </c>
      <c r="L3" t="s">
        <v>126</v>
      </c>
      <c r="M3" t="s">
        <v>127</v>
      </c>
      <c r="N3" t="s">
        <v>128</v>
      </c>
    </row>
    <row r="4" spans="2:14">
      <c r="B4">
        <v>48</v>
      </c>
      <c r="C4">
        <v>48</v>
      </c>
      <c r="D4">
        <v>4000</v>
      </c>
      <c r="E4">
        <v>2</v>
      </c>
      <c r="F4" s="117">
        <v>0</v>
      </c>
      <c r="G4" s="94">
        <v>2</v>
      </c>
      <c r="H4" s="86" t="s">
        <v>129</v>
      </c>
      <c r="I4" s="91"/>
      <c r="J4" s="91"/>
      <c r="K4" s="91"/>
      <c r="L4" t="s">
        <v>130</v>
      </c>
      <c r="M4" t="s">
        <v>130</v>
      </c>
      <c r="N4" t="s">
        <v>130</v>
      </c>
    </row>
    <row r="5" spans="2:14">
      <c r="B5">
        <v>50</v>
      </c>
      <c r="C5">
        <v>51</v>
      </c>
      <c r="D5">
        <v>7000</v>
      </c>
      <c r="E5">
        <v>2.5</v>
      </c>
      <c r="F5" s="117">
        <v>0.02</v>
      </c>
      <c r="G5" s="83"/>
      <c r="H5" s="86" t="s">
        <v>130</v>
      </c>
      <c r="I5" s="92"/>
      <c r="J5" s="92"/>
      <c r="K5" s="92"/>
      <c r="L5" t="s">
        <v>131</v>
      </c>
      <c r="M5" t="s">
        <v>131</v>
      </c>
      <c r="N5" t="s">
        <v>131</v>
      </c>
    </row>
    <row r="6" spans="2:14">
      <c r="B6">
        <v>52</v>
      </c>
      <c r="C6">
        <v>64</v>
      </c>
      <c r="D6">
        <v>8000</v>
      </c>
      <c r="E6">
        <v>3</v>
      </c>
      <c r="F6" s="117">
        <v>0.04</v>
      </c>
      <c r="G6" s="83"/>
      <c r="H6" s="86" t="s">
        <v>131</v>
      </c>
      <c r="I6" s="92"/>
      <c r="J6" s="92"/>
      <c r="K6" s="92"/>
      <c r="L6" t="s">
        <v>132</v>
      </c>
      <c r="M6" t="s">
        <v>132</v>
      </c>
      <c r="N6" t="s">
        <v>132</v>
      </c>
    </row>
    <row r="7" spans="2:14">
      <c r="B7">
        <v>54</v>
      </c>
      <c r="C7">
        <v>67</v>
      </c>
      <c r="D7">
        <v>8500</v>
      </c>
      <c r="E7">
        <v>3.5</v>
      </c>
      <c r="F7" s="117">
        <v>0.06</v>
      </c>
      <c r="G7" s="83"/>
      <c r="H7" s="86" t="s">
        <v>133</v>
      </c>
      <c r="I7" s="92"/>
      <c r="J7" s="92"/>
      <c r="K7" s="92"/>
      <c r="L7" t="s">
        <v>134</v>
      </c>
      <c r="M7" t="s">
        <v>134</v>
      </c>
      <c r="N7" t="s">
        <v>134</v>
      </c>
    </row>
    <row r="8" spans="2:14">
      <c r="B8">
        <v>56</v>
      </c>
      <c r="D8">
        <v>8800</v>
      </c>
      <c r="E8">
        <v>4</v>
      </c>
      <c r="F8" s="117">
        <v>0.08</v>
      </c>
      <c r="G8" s="83"/>
      <c r="H8" s="86" t="s">
        <v>134</v>
      </c>
      <c r="I8" s="92"/>
      <c r="J8" s="92"/>
      <c r="K8" s="92"/>
      <c r="L8" t="s">
        <v>135</v>
      </c>
      <c r="M8" t="s">
        <v>135</v>
      </c>
      <c r="N8" t="s">
        <v>135</v>
      </c>
    </row>
    <row r="9" spans="2:14">
      <c r="B9">
        <v>58</v>
      </c>
      <c r="D9">
        <v>9000</v>
      </c>
      <c r="E9">
        <v>4.5</v>
      </c>
      <c r="F9" s="117">
        <v>0.1</v>
      </c>
      <c r="G9" s="83"/>
      <c r="H9" s="86" t="s">
        <v>136</v>
      </c>
      <c r="I9" s="92"/>
      <c r="J9" s="92"/>
      <c r="K9" s="92"/>
      <c r="L9" t="s">
        <v>137</v>
      </c>
      <c r="M9" t="s">
        <v>137</v>
      </c>
      <c r="N9" t="s">
        <v>137</v>
      </c>
    </row>
    <row r="10" spans="2:14">
      <c r="B10">
        <v>60</v>
      </c>
      <c r="D10">
        <v>9840</v>
      </c>
      <c r="E10">
        <v>5</v>
      </c>
      <c r="F10" s="117">
        <v>0.12</v>
      </c>
      <c r="G10" s="83"/>
      <c r="H10" s="85" t="s">
        <v>138</v>
      </c>
      <c r="I10" s="92"/>
      <c r="J10" s="92"/>
      <c r="K10" s="92"/>
      <c r="L10" t="s">
        <v>2</v>
      </c>
      <c r="M10" t="s">
        <v>2</v>
      </c>
      <c r="N10" t="s">
        <v>2</v>
      </c>
    </row>
    <row r="11" spans="2:14">
      <c r="B11">
        <v>62</v>
      </c>
      <c r="D11">
        <v>9700</v>
      </c>
      <c r="F11" s="117">
        <v>0.14000000000000001</v>
      </c>
      <c r="G11" s="83"/>
      <c r="H11" s="86" t="s">
        <v>139</v>
      </c>
      <c r="I11" s="92"/>
      <c r="J11" s="92"/>
      <c r="K11" s="92"/>
      <c r="L11" t="s">
        <v>1</v>
      </c>
      <c r="M11" t="s">
        <v>1</v>
      </c>
      <c r="N11" t="s">
        <v>1</v>
      </c>
    </row>
    <row r="12" spans="2:14">
      <c r="B12">
        <v>64</v>
      </c>
      <c r="D12">
        <v>11500</v>
      </c>
      <c r="F12" s="117">
        <v>0.16</v>
      </c>
      <c r="G12" s="83"/>
      <c r="H12" s="86" t="s">
        <v>140</v>
      </c>
      <c r="I12" s="92"/>
      <c r="J12" s="92"/>
      <c r="K12" s="92"/>
      <c r="L12" t="s">
        <v>141</v>
      </c>
      <c r="M12" t="s">
        <v>141</v>
      </c>
      <c r="N12" t="s">
        <v>141</v>
      </c>
    </row>
    <row r="13" spans="2:14">
      <c r="B13">
        <v>66</v>
      </c>
      <c r="D13">
        <v>11800</v>
      </c>
      <c r="F13" s="117">
        <v>0.18</v>
      </c>
      <c r="G13" s="83"/>
      <c r="H13" s="86" t="s">
        <v>142</v>
      </c>
      <c r="I13" s="92"/>
      <c r="J13" s="92"/>
      <c r="K13" s="92"/>
      <c r="L13" t="s">
        <v>143</v>
      </c>
      <c r="M13" t="s">
        <v>143</v>
      </c>
      <c r="N13" t="s">
        <v>143</v>
      </c>
    </row>
    <row r="14" spans="2:14">
      <c r="B14">
        <v>68</v>
      </c>
      <c r="D14" s="84">
        <v>12100</v>
      </c>
      <c r="H14" s="86" t="s">
        <v>144</v>
      </c>
      <c r="I14" s="92"/>
      <c r="J14" s="92"/>
      <c r="K14" s="92"/>
      <c r="L14" t="s">
        <v>145</v>
      </c>
      <c r="M14" t="s">
        <v>145</v>
      </c>
      <c r="N14" t="s">
        <v>145</v>
      </c>
    </row>
    <row r="15" spans="2:14">
      <c r="B15">
        <v>70</v>
      </c>
      <c r="D15">
        <v>12500</v>
      </c>
      <c r="H15" s="86" t="s">
        <v>146</v>
      </c>
      <c r="I15" s="91"/>
      <c r="J15" s="91"/>
      <c r="K15" s="91"/>
      <c r="L15" t="s">
        <v>147</v>
      </c>
      <c r="M15" t="s">
        <v>147</v>
      </c>
      <c r="N15" t="s">
        <v>147</v>
      </c>
    </row>
    <row r="16" spans="2:14">
      <c r="B16">
        <v>72</v>
      </c>
      <c r="D16">
        <v>13200</v>
      </c>
      <c r="H16" s="85" t="s">
        <v>148</v>
      </c>
      <c r="I16" s="92"/>
      <c r="J16" s="92"/>
      <c r="K16" s="92"/>
      <c r="L16" t="s">
        <v>149</v>
      </c>
      <c r="M16" t="s">
        <v>149</v>
      </c>
      <c r="N16" t="s">
        <v>149</v>
      </c>
    </row>
    <row r="17" spans="1:14">
      <c r="D17">
        <v>13800</v>
      </c>
      <c r="H17" s="86" t="s">
        <v>150</v>
      </c>
      <c r="I17" s="92"/>
      <c r="J17" s="92"/>
      <c r="K17" s="92"/>
      <c r="L17" t="s">
        <v>151</v>
      </c>
      <c r="M17" t="s">
        <v>151</v>
      </c>
      <c r="N17" t="s">
        <v>151</v>
      </c>
    </row>
    <row r="18" spans="1:14">
      <c r="D18">
        <v>14700</v>
      </c>
      <c r="H18" s="86" t="s">
        <v>152</v>
      </c>
      <c r="I18" s="92"/>
      <c r="J18" s="92"/>
      <c r="K18" s="92"/>
      <c r="L18" t="s">
        <v>153</v>
      </c>
      <c r="M18" t="s">
        <v>153</v>
      </c>
      <c r="N18" t="s">
        <v>153</v>
      </c>
    </row>
    <row r="19" spans="1:14">
      <c r="H19" s="86" t="s">
        <v>154</v>
      </c>
      <c r="I19" s="92"/>
      <c r="J19" s="92"/>
      <c r="K19" s="92"/>
      <c r="L19" t="s">
        <v>155</v>
      </c>
      <c r="M19" t="s">
        <v>155</v>
      </c>
      <c r="N19" t="s">
        <v>155</v>
      </c>
    </row>
    <row r="20" spans="1:14">
      <c r="H20" s="86" t="s">
        <v>156</v>
      </c>
      <c r="I20" s="92"/>
      <c r="J20" s="92"/>
      <c r="K20" s="92"/>
      <c r="L20" t="s">
        <v>157</v>
      </c>
      <c r="M20" t="s">
        <v>157</v>
      </c>
      <c r="N20" t="s">
        <v>157</v>
      </c>
    </row>
    <row r="21" spans="1:14">
      <c r="A21" s="395"/>
      <c r="B21" s="395"/>
      <c r="C21" s="395"/>
      <c r="H21" s="86" t="s">
        <v>158</v>
      </c>
      <c r="I21" s="92"/>
      <c r="J21" s="92"/>
      <c r="K21" s="92"/>
      <c r="L21" t="s">
        <v>159</v>
      </c>
      <c r="M21" t="s">
        <v>159</v>
      </c>
      <c r="N21" t="s">
        <v>159</v>
      </c>
    </row>
    <row r="22" spans="1:14">
      <c r="A22" s="108"/>
      <c r="B22" s="108"/>
      <c r="C22" s="108"/>
      <c r="H22" s="86" t="s">
        <v>160</v>
      </c>
      <c r="I22" s="92"/>
      <c r="J22" s="92"/>
      <c r="K22" s="92"/>
      <c r="L22" t="s">
        <v>161</v>
      </c>
      <c r="M22" t="s">
        <v>161</v>
      </c>
      <c r="N22" t="s">
        <v>161</v>
      </c>
    </row>
    <row r="23" spans="1:14">
      <c r="H23" s="86" t="s">
        <v>162</v>
      </c>
      <c r="I23" s="92"/>
      <c r="J23" s="92"/>
      <c r="K23" s="92"/>
      <c r="L23" t="s">
        <v>163</v>
      </c>
      <c r="M23" t="s">
        <v>163</v>
      </c>
      <c r="N23" t="s">
        <v>163</v>
      </c>
    </row>
    <row r="24" spans="1:14">
      <c r="H24" s="86" t="s">
        <v>164</v>
      </c>
      <c r="I24" s="91"/>
      <c r="J24" s="91"/>
      <c r="K24" s="91"/>
      <c r="L24" t="s">
        <v>165</v>
      </c>
      <c r="M24" t="s">
        <v>165</v>
      </c>
      <c r="N24" t="s">
        <v>165</v>
      </c>
    </row>
    <row r="25" spans="1:14">
      <c r="H25" s="89" t="s">
        <v>166</v>
      </c>
      <c r="I25" s="92"/>
      <c r="J25" s="92"/>
      <c r="K25" s="92"/>
      <c r="L25" t="s">
        <v>167</v>
      </c>
      <c r="M25" t="s">
        <v>167</v>
      </c>
      <c r="N25" t="s">
        <v>167</v>
      </c>
    </row>
    <row r="26" spans="1:14">
      <c r="H26" s="90" t="s">
        <v>168</v>
      </c>
      <c r="I26" s="91"/>
      <c r="J26" s="91"/>
      <c r="K26" s="91"/>
      <c r="L26" t="s">
        <v>169</v>
      </c>
      <c r="M26" t="s">
        <v>169</v>
      </c>
      <c r="N26" t="s">
        <v>169</v>
      </c>
    </row>
    <row r="27" spans="1:14">
      <c r="H27" s="85" t="s">
        <v>170</v>
      </c>
      <c r="I27" s="91"/>
      <c r="J27" s="91"/>
      <c r="K27" s="91"/>
      <c r="L27" t="s">
        <v>171</v>
      </c>
      <c r="M27" t="s">
        <v>171</v>
      </c>
      <c r="N27" t="s">
        <v>171</v>
      </c>
    </row>
    <row r="28" spans="1:14">
      <c r="H28" s="89" t="s">
        <v>172</v>
      </c>
      <c r="I28" s="92"/>
      <c r="J28" s="92"/>
      <c r="K28" s="92"/>
      <c r="L28" t="s">
        <v>173</v>
      </c>
      <c r="M28" t="s">
        <v>173</v>
      </c>
      <c r="N28" t="s">
        <v>173</v>
      </c>
    </row>
    <row r="29" spans="1:14">
      <c r="H29" s="85" t="s">
        <v>159</v>
      </c>
      <c r="I29" s="92"/>
      <c r="J29" s="92"/>
      <c r="K29" s="92"/>
      <c r="L29" t="s">
        <v>174</v>
      </c>
      <c r="M29" t="s">
        <v>174</v>
      </c>
      <c r="N29" t="s">
        <v>174</v>
      </c>
    </row>
    <row r="30" spans="1:14">
      <c r="H30" s="86" t="s">
        <v>175</v>
      </c>
      <c r="I30" s="91"/>
      <c r="J30" s="91"/>
      <c r="K30" s="91"/>
      <c r="L30" t="s">
        <v>176</v>
      </c>
      <c r="M30" t="s">
        <v>176</v>
      </c>
      <c r="N30" t="s">
        <v>176</v>
      </c>
    </row>
    <row r="31" spans="1:14">
      <c r="H31" s="85" t="s">
        <v>177</v>
      </c>
      <c r="I31" s="92"/>
      <c r="J31" s="92"/>
      <c r="K31" s="92"/>
      <c r="L31" t="s">
        <v>178</v>
      </c>
      <c r="M31" t="s">
        <v>178</v>
      </c>
      <c r="N31" t="s">
        <v>178</v>
      </c>
    </row>
    <row r="32" spans="1:14">
      <c r="H32" s="86" t="s">
        <v>179</v>
      </c>
      <c r="I32" s="92"/>
      <c r="J32" s="92"/>
      <c r="K32" s="92"/>
      <c r="L32" t="s">
        <v>180</v>
      </c>
      <c r="M32" t="s">
        <v>180</v>
      </c>
      <c r="N32" t="s">
        <v>180</v>
      </c>
    </row>
    <row r="33" spans="4:14">
      <c r="H33" s="85" t="s">
        <v>181</v>
      </c>
      <c r="I33" s="92"/>
      <c r="J33" s="92"/>
      <c r="K33" s="92"/>
      <c r="L33" t="s">
        <v>182</v>
      </c>
      <c r="M33" t="s">
        <v>182</v>
      </c>
      <c r="N33" t="s">
        <v>182</v>
      </c>
    </row>
    <row r="34" spans="4:14">
      <c r="H34" s="86" t="s">
        <v>183</v>
      </c>
      <c r="I34" s="91"/>
      <c r="J34" s="91"/>
      <c r="K34" s="91"/>
      <c r="L34" t="s">
        <v>184</v>
      </c>
      <c r="M34" t="s">
        <v>184</v>
      </c>
      <c r="N34" t="s">
        <v>184</v>
      </c>
    </row>
    <row r="35" spans="4:14">
      <c r="H35" s="86" t="s">
        <v>185</v>
      </c>
      <c r="I35" s="92"/>
      <c r="J35" s="92"/>
      <c r="K35" s="92"/>
      <c r="L35" t="s">
        <v>186</v>
      </c>
      <c r="M35" t="s">
        <v>186</v>
      </c>
      <c r="N35" t="s">
        <v>186</v>
      </c>
    </row>
    <row r="36" spans="4:14">
      <c r="H36" s="85" t="s">
        <v>187</v>
      </c>
      <c r="I36" s="92"/>
      <c r="J36" s="92"/>
      <c r="K36" s="92"/>
      <c r="L36" t="s">
        <v>188</v>
      </c>
      <c r="M36" t="s">
        <v>188</v>
      </c>
      <c r="N36" t="s">
        <v>188</v>
      </c>
    </row>
    <row r="37" spans="4:14">
      <c r="H37" s="87" t="s">
        <v>174</v>
      </c>
      <c r="I37" s="92"/>
      <c r="J37" s="92"/>
      <c r="K37" s="92"/>
      <c r="L37" t="s">
        <v>189</v>
      </c>
      <c r="M37" t="s">
        <v>189</v>
      </c>
      <c r="N37" t="s">
        <v>189</v>
      </c>
    </row>
    <row r="38" spans="4:14">
      <c r="H38" s="86" t="s">
        <v>190</v>
      </c>
      <c r="I38" s="92"/>
      <c r="J38" s="92"/>
      <c r="K38" s="92"/>
      <c r="L38" t="s">
        <v>191</v>
      </c>
      <c r="M38" t="s">
        <v>191</v>
      </c>
      <c r="N38" t="s">
        <v>191</v>
      </c>
    </row>
    <row r="39" spans="4:14">
      <c r="H39" s="89" t="s">
        <v>192</v>
      </c>
      <c r="I39" s="91"/>
      <c r="J39" s="91"/>
      <c r="K39" s="91"/>
      <c r="L39" t="s">
        <v>193</v>
      </c>
      <c r="M39" t="s">
        <v>193</v>
      </c>
      <c r="N39" t="s">
        <v>193</v>
      </c>
    </row>
    <row r="40" spans="4:14">
      <c r="H40" s="89" t="s">
        <v>194</v>
      </c>
      <c r="I40" s="92"/>
      <c r="J40" s="92"/>
      <c r="K40" s="92"/>
      <c r="L40" t="s">
        <v>195</v>
      </c>
      <c r="M40" t="s">
        <v>195</v>
      </c>
      <c r="N40" t="s">
        <v>195</v>
      </c>
    </row>
    <row r="41" spans="4:14">
      <c r="H41" s="89" t="s">
        <v>196</v>
      </c>
      <c r="I41" s="92"/>
      <c r="J41" s="92"/>
      <c r="K41" s="92"/>
      <c r="L41" t="s">
        <v>197</v>
      </c>
      <c r="M41" t="s">
        <v>197</v>
      </c>
      <c r="N41" t="s">
        <v>197</v>
      </c>
    </row>
    <row r="42" spans="4:14">
      <c r="H42" s="93" t="s">
        <v>198</v>
      </c>
      <c r="I42" s="92"/>
      <c r="J42" s="92"/>
      <c r="K42" s="92"/>
      <c r="L42" t="s">
        <v>199</v>
      </c>
      <c r="M42" t="s">
        <v>199</v>
      </c>
      <c r="N42" t="s">
        <v>199</v>
      </c>
    </row>
    <row r="43" spans="4:14">
      <c r="H43" s="90" t="s">
        <v>200</v>
      </c>
      <c r="I43" s="92"/>
      <c r="J43" s="92"/>
      <c r="K43" s="92"/>
      <c r="L43" s="91"/>
      <c r="M43" s="92"/>
    </row>
    <row r="44" spans="4:14">
      <c r="H44" s="89" t="s">
        <v>201</v>
      </c>
      <c r="I44" s="91"/>
      <c r="J44" s="91"/>
      <c r="K44" s="91"/>
      <c r="L44" s="92"/>
      <c r="M44" s="92"/>
    </row>
    <row r="45" spans="4:14">
      <c r="H45" s="88" t="s">
        <v>202</v>
      </c>
      <c r="I45" s="91"/>
      <c r="J45" s="91"/>
      <c r="K45" s="91"/>
      <c r="L45" s="92"/>
      <c r="M45" s="92"/>
    </row>
    <row r="46" spans="4:14" ht="15.4" thickBot="1">
      <c r="I46" s="92"/>
      <c r="J46" s="92"/>
      <c r="K46" s="92"/>
      <c r="L46" s="92"/>
      <c r="M46" s="92"/>
    </row>
    <row r="47" spans="4:14" ht="15.4" thickBot="1">
      <c r="D47" s="109" t="s">
        <v>203</v>
      </c>
      <c r="E47" s="110"/>
      <c r="F47" s="111"/>
      <c r="G47" s="393" t="s">
        <v>204</v>
      </c>
      <c r="H47" s="394"/>
      <c r="I47" s="92"/>
      <c r="J47" s="92"/>
      <c r="K47" s="92"/>
      <c r="L47" s="92"/>
      <c r="M47" s="92"/>
    </row>
    <row r="48" spans="4:14" ht="15.4" thickBot="1">
      <c r="G48" s="74"/>
      <c r="H48" s="74"/>
      <c r="I48" s="91"/>
      <c r="J48" s="91"/>
      <c r="K48" s="91"/>
      <c r="L48" s="91"/>
      <c r="M48" s="92"/>
    </row>
    <row r="49" spans="3:13" ht="15.4" thickBot="1">
      <c r="C49" s="106"/>
      <c r="D49" s="96"/>
      <c r="E49" s="97" t="s">
        <v>205</v>
      </c>
      <c r="F49" s="97" t="s">
        <v>206</v>
      </c>
      <c r="G49" s="97" t="s">
        <v>14</v>
      </c>
      <c r="H49" s="97" t="s">
        <v>207</v>
      </c>
      <c r="I49" s="95" t="s">
        <v>208</v>
      </c>
      <c r="J49" s="92"/>
      <c r="K49" s="92"/>
      <c r="L49" s="91"/>
      <c r="M49" s="92"/>
    </row>
    <row r="50" spans="3:13">
      <c r="C50" s="106"/>
      <c r="D50" s="98" t="s">
        <v>165</v>
      </c>
      <c r="E50" s="99">
        <v>2</v>
      </c>
      <c r="F50" s="99">
        <v>2</v>
      </c>
      <c r="G50" s="99">
        <v>2</v>
      </c>
      <c r="H50" s="99">
        <v>3</v>
      </c>
      <c r="I50" s="99">
        <v>4</v>
      </c>
      <c r="J50" s="92"/>
      <c r="K50" s="92"/>
      <c r="L50" s="92"/>
      <c r="M50" s="92"/>
    </row>
    <row r="51" spans="3:13">
      <c r="C51" s="106"/>
      <c r="D51" s="100" t="s">
        <v>134</v>
      </c>
      <c r="E51" s="101">
        <v>2.5</v>
      </c>
      <c r="F51" s="101">
        <v>2.5</v>
      </c>
      <c r="G51" s="101">
        <v>3.5</v>
      </c>
      <c r="H51" s="101">
        <v>3.5</v>
      </c>
      <c r="I51" s="101">
        <v>4.5</v>
      </c>
      <c r="J51" s="92"/>
      <c r="K51" s="92"/>
      <c r="L51" s="92"/>
      <c r="M51" s="91"/>
    </row>
    <row r="52" spans="3:13">
      <c r="C52" s="106"/>
      <c r="D52" s="100" t="s">
        <v>174</v>
      </c>
      <c r="E52" s="101">
        <v>2</v>
      </c>
      <c r="F52" s="101">
        <v>2</v>
      </c>
      <c r="G52" s="101">
        <v>3</v>
      </c>
      <c r="H52" s="102" t="s">
        <v>209</v>
      </c>
      <c r="I52" s="101">
        <v>4</v>
      </c>
      <c r="J52" s="92"/>
      <c r="K52" s="92"/>
      <c r="L52" s="91"/>
      <c r="M52" s="92"/>
    </row>
    <row r="53" spans="3:13">
      <c r="C53" s="106"/>
      <c r="D53" s="100" t="s">
        <v>173</v>
      </c>
      <c r="E53" s="101">
        <v>2</v>
      </c>
      <c r="F53" s="101">
        <v>2</v>
      </c>
      <c r="G53" s="101" t="s">
        <v>210</v>
      </c>
      <c r="H53" s="101" t="s">
        <v>211</v>
      </c>
      <c r="I53" s="101">
        <v>4</v>
      </c>
      <c r="J53" s="92"/>
      <c r="K53" s="92"/>
      <c r="L53" s="92"/>
      <c r="M53" s="92"/>
    </row>
    <row r="54" spans="3:13">
      <c r="C54" s="106"/>
      <c r="D54" s="100" t="s">
        <v>132</v>
      </c>
      <c r="E54" s="101">
        <v>2.5</v>
      </c>
      <c r="F54" s="101">
        <v>2.5</v>
      </c>
      <c r="G54" s="101">
        <v>2.5</v>
      </c>
      <c r="H54" s="101">
        <v>3.5</v>
      </c>
      <c r="I54" s="101">
        <v>4.5</v>
      </c>
      <c r="J54" s="92"/>
      <c r="K54" s="92"/>
      <c r="L54" s="92"/>
      <c r="M54" s="92"/>
    </row>
    <row r="55" spans="3:13">
      <c r="C55" s="106"/>
      <c r="D55" s="100" t="s">
        <v>182</v>
      </c>
      <c r="E55" s="101" t="s">
        <v>212</v>
      </c>
      <c r="F55" s="101" t="s">
        <v>212</v>
      </c>
      <c r="G55" s="101" t="s">
        <v>212</v>
      </c>
      <c r="H55" s="101" t="s">
        <v>210</v>
      </c>
      <c r="I55" s="101" t="s">
        <v>213</v>
      </c>
      <c r="J55" s="92"/>
      <c r="K55" s="92"/>
      <c r="L55" s="92"/>
      <c r="M55" s="92"/>
    </row>
    <row r="56" spans="3:13">
      <c r="C56" s="106"/>
      <c r="D56" s="100" t="s">
        <v>193</v>
      </c>
      <c r="E56" s="101">
        <v>2</v>
      </c>
      <c r="F56" s="101">
        <v>3</v>
      </c>
      <c r="G56" s="101">
        <v>3</v>
      </c>
      <c r="H56" s="101" t="s">
        <v>213</v>
      </c>
      <c r="I56" s="101" t="s">
        <v>213</v>
      </c>
      <c r="J56" s="92"/>
      <c r="K56" s="92"/>
      <c r="L56" s="92"/>
      <c r="M56" s="92"/>
    </row>
    <row r="57" spans="3:13">
      <c r="C57" s="106"/>
      <c r="D57" s="100" t="s">
        <v>159</v>
      </c>
      <c r="E57" s="101">
        <v>2</v>
      </c>
      <c r="F57" s="101">
        <v>2</v>
      </c>
      <c r="G57" s="101">
        <v>3</v>
      </c>
      <c r="H57" s="101">
        <v>3</v>
      </c>
      <c r="I57" s="101">
        <v>4</v>
      </c>
      <c r="J57" s="92"/>
      <c r="K57" s="92"/>
      <c r="L57" s="92"/>
    </row>
    <row r="58" spans="3:13">
      <c r="C58" s="106"/>
      <c r="D58" s="100" t="s">
        <v>157</v>
      </c>
      <c r="E58" s="101">
        <v>2.5</v>
      </c>
      <c r="F58" s="101">
        <v>2.5</v>
      </c>
      <c r="G58" s="101">
        <v>2.5</v>
      </c>
      <c r="H58" s="101">
        <v>3</v>
      </c>
      <c r="I58" s="101">
        <v>4</v>
      </c>
      <c r="J58" s="92"/>
      <c r="K58" s="92"/>
      <c r="L58" s="92"/>
    </row>
    <row r="59" spans="3:13">
      <c r="C59" s="106"/>
      <c r="D59" s="100" t="s">
        <v>143</v>
      </c>
      <c r="E59" s="101">
        <v>2.5</v>
      </c>
      <c r="F59" s="101">
        <v>3.5</v>
      </c>
      <c r="G59" s="101">
        <v>3.5</v>
      </c>
      <c r="H59" s="101">
        <v>4.5</v>
      </c>
      <c r="I59" s="101">
        <v>5</v>
      </c>
      <c r="J59" s="92"/>
      <c r="K59" s="92"/>
      <c r="L59" s="92"/>
    </row>
    <row r="60" spans="3:13">
      <c r="C60" s="106"/>
      <c r="D60" s="100" t="s">
        <v>151</v>
      </c>
      <c r="E60" s="101">
        <v>3</v>
      </c>
      <c r="F60" s="101">
        <v>4</v>
      </c>
      <c r="G60" s="101">
        <v>4</v>
      </c>
      <c r="H60" s="101">
        <v>5</v>
      </c>
      <c r="I60" s="101" t="s">
        <v>214</v>
      </c>
      <c r="J60" s="92"/>
      <c r="K60" s="92"/>
      <c r="L60" s="92"/>
    </row>
    <row r="61" spans="3:13">
      <c r="C61" s="106"/>
      <c r="D61" s="100" t="s">
        <v>163</v>
      </c>
      <c r="E61" s="101">
        <v>3</v>
      </c>
      <c r="F61" s="101">
        <v>4</v>
      </c>
      <c r="G61" s="101">
        <v>4</v>
      </c>
      <c r="H61" s="101">
        <v>5</v>
      </c>
      <c r="I61" s="101" t="s">
        <v>214</v>
      </c>
      <c r="J61" s="92"/>
      <c r="K61" s="92"/>
      <c r="L61" s="92"/>
    </row>
    <row r="62" spans="3:13">
      <c r="C62" s="106"/>
      <c r="D62" s="100" t="s">
        <v>197</v>
      </c>
      <c r="E62" s="101">
        <v>3</v>
      </c>
      <c r="F62" s="101">
        <v>4</v>
      </c>
      <c r="G62" s="101">
        <v>4</v>
      </c>
      <c r="H62" s="101">
        <v>5</v>
      </c>
      <c r="I62" s="101">
        <v>5</v>
      </c>
      <c r="J62" s="91"/>
      <c r="K62" s="91"/>
      <c r="L62" s="92"/>
    </row>
    <row r="63" spans="3:13">
      <c r="C63" s="106"/>
      <c r="D63" s="100" t="s">
        <v>215</v>
      </c>
      <c r="E63" s="101">
        <v>3.25</v>
      </c>
      <c r="F63" s="101">
        <v>3.25</v>
      </c>
      <c r="G63" s="101">
        <v>3.25</v>
      </c>
      <c r="H63" s="101">
        <v>4.25</v>
      </c>
      <c r="I63" s="101">
        <v>5.25</v>
      </c>
      <c r="J63" s="92"/>
      <c r="K63" s="92"/>
      <c r="L63" s="92"/>
    </row>
    <row r="64" spans="3:13">
      <c r="C64" s="106"/>
      <c r="D64" s="100" t="s">
        <v>147</v>
      </c>
      <c r="E64" s="101">
        <v>2.5</v>
      </c>
      <c r="F64" s="101">
        <v>2.5</v>
      </c>
      <c r="G64" s="101">
        <v>2.5</v>
      </c>
      <c r="H64" s="101">
        <v>3.5</v>
      </c>
      <c r="I64" s="101">
        <v>4.5</v>
      </c>
      <c r="J64" s="92"/>
      <c r="K64" s="92"/>
      <c r="L64" s="92"/>
    </row>
    <row r="65" spans="3:12">
      <c r="C65" s="106"/>
      <c r="D65" s="100" t="s">
        <v>189</v>
      </c>
      <c r="E65" s="101">
        <v>3</v>
      </c>
      <c r="F65" s="101">
        <v>3.5</v>
      </c>
      <c r="G65" s="101">
        <v>3.5</v>
      </c>
      <c r="H65" s="101">
        <v>4</v>
      </c>
      <c r="I65" s="101" t="s">
        <v>214</v>
      </c>
      <c r="J65" s="92"/>
      <c r="K65" s="92"/>
      <c r="L65" s="92"/>
    </row>
    <row r="66" spans="3:12">
      <c r="C66" s="106"/>
      <c r="D66" s="100" t="s">
        <v>155</v>
      </c>
      <c r="E66" s="101">
        <v>2</v>
      </c>
      <c r="F66" s="101">
        <v>2.5</v>
      </c>
      <c r="G66" s="101">
        <v>2.5</v>
      </c>
      <c r="H66" s="101">
        <v>3.5</v>
      </c>
      <c r="I66" s="101">
        <v>4</v>
      </c>
      <c r="J66" s="92"/>
      <c r="K66" s="92"/>
      <c r="L66" s="91"/>
    </row>
    <row r="67" spans="3:12">
      <c r="C67" s="106"/>
      <c r="D67" s="100" t="s">
        <v>161</v>
      </c>
      <c r="E67" s="101">
        <v>3</v>
      </c>
      <c r="F67" s="101">
        <v>4</v>
      </c>
      <c r="G67" s="101">
        <v>4</v>
      </c>
      <c r="H67" s="101">
        <v>5</v>
      </c>
      <c r="I67" s="101" t="s">
        <v>214</v>
      </c>
      <c r="J67" s="92"/>
      <c r="K67" s="92"/>
      <c r="L67" s="92"/>
    </row>
    <row r="68" spans="3:12">
      <c r="C68" s="106"/>
      <c r="D68" s="100" t="s">
        <v>199</v>
      </c>
      <c r="E68" s="101">
        <v>2</v>
      </c>
      <c r="F68" s="105">
        <v>3</v>
      </c>
      <c r="G68" s="105">
        <v>3</v>
      </c>
      <c r="H68" s="101" t="s">
        <v>216</v>
      </c>
      <c r="I68" s="101" t="s">
        <v>214</v>
      </c>
      <c r="L68" s="92"/>
    </row>
    <row r="69" spans="3:12">
      <c r="C69" s="106"/>
      <c r="D69" s="100" t="s">
        <v>176</v>
      </c>
      <c r="E69" s="101" t="s">
        <v>212</v>
      </c>
      <c r="F69" s="105">
        <v>3</v>
      </c>
      <c r="G69" s="105">
        <v>3</v>
      </c>
      <c r="H69" s="101">
        <v>4</v>
      </c>
      <c r="I69" s="101" t="s">
        <v>217</v>
      </c>
      <c r="L69" s="92"/>
    </row>
    <row r="70" spans="3:12">
      <c r="C70" s="106"/>
      <c r="D70" s="100" t="s">
        <v>218</v>
      </c>
      <c r="E70" s="101">
        <v>2</v>
      </c>
      <c r="F70" s="101">
        <v>2</v>
      </c>
      <c r="G70" s="101">
        <v>2</v>
      </c>
      <c r="H70" s="101">
        <v>3</v>
      </c>
      <c r="I70" s="101">
        <v>4</v>
      </c>
      <c r="L70" s="92"/>
    </row>
    <row r="71" spans="3:12">
      <c r="C71" s="106"/>
      <c r="D71" s="100" t="s">
        <v>219</v>
      </c>
      <c r="E71" s="101">
        <v>2.5</v>
      </c>
      <c r="F71" s="101">
        <v>2.5</v>
      </c>
      <c r="G71" s="101">
        <v>2.5</v>
      </c>
      <c r="H71" s="101">
        <v>3.5</v>
      </c>
      <c r="I71" s="101">
        <v>4.5</v>
      </c>
      <c r="L71" s="92"/>
    </row>
    <row r="72" spans="3:12">
      <c r="C72" s="106"/>
      <c r="D72" s="100" t="s">
        <v>180</v>
      </c>
      <c r="E72" s="101">
        <v>3</v>
      </c>
      <c r="F72" s="101">
        <v>4</v>
      </c>
      <c r="G72" s="101">
        <v>4</v>
      </c>
      <c r="H72" s="101">
        <v>5</v>
      </c>
      <c r="I72" s="101" t="s">
        <v>214</v>
      </c>
    </row>
    <row r="73" spans="3:12" ht="15.4" thickBot="1">
      <c r="C73" s="106"/>
      <c r="D73" s="103" t="s">
        <v>178</v>
      </c>
      <c r="E73" s="104" t="s">
        <v>220</v>
      </c>
      <c r="F73" s="104" t="s">
        <v>210</v>
      </c>
      <c r="G73" s="104" t="s">
        <v>210</v>
      </c>
      <c r="H73" s="104" t="s">
        <v>221</v>
      </c>
      <c r="I73" s="104" t="s">
        <v>214</v>
      </c>
    </row>
    <row r="75" spans="3:12">
      <c r="D75" t="s">
        <v>222</v>
      </c>
      <c r="E75" t="s">
        <v>223</v>
      </c>
      <c r="F75" s="74" t="s">
        <v>224</v>
      </c>
      <c r="G75" t="s">
        <v>225</v>
      </c>
    </row>
    <row r="76" spans="3:12">
      <c r="D76" t="s">
        <v>165</v>
      </c>
      <c r="E76" t="s">
        <v>205</v>
      </c>
      <c r="F76" s="74">
        <v>2</v>
      </c>
      <c r="G76" t="str">
        <f t="shared" ref="G76:G139" si="0">D76&amp;E76&amp;F76</f>
        <v>John DeereSilage2</v>
      </c>
    </row>
    <row r="77" spans="3:12">
      <c r="D77" t="s">
        <v>165</v>
      </c>
      <c r="E77" t="s">
        <v>206</v>
      </c>
      <c r="F77" s="74">
        <v>2</v>
      </c>
      <c r="G77" t="str">
        <f t="shared" si="0"/>
        <v>John DeereAlfalfa2</v>
      </c>
    </row>
    <row r="78" spans="3:12">
      <c r="D78" t="s">
        <v>165</v>
      </c>
      <c r="E78" t="s">
        <v>14</v>
      </c>
      <c r="F78" s="74">
        <v>2</v>
      </c>
      <c r="G78" t="str">
        <f t="shared" si="0"/>
        <v>John DeereGrass Hay2</v>
      </c>
      <c r="H78" s="106" t="s">
        <v>226</v>
      </c>
    </row>
    <row r="79" spans="3:12">
      <c r="D79" t="s">
        <v>165</v>
      </c>
      <c r="E79" t="s">
        <v>207</v>
      </c>
      <c r="F79" s="74">
        <v>3</v>
      </c>
      <c r="G79" t="str">
        <f t="shared" si="0"/>
        <v>John DeereStraw3</v>
      </c>
      <c r="H79" s="106" t="s">
        <v>227</v>
      </c>
      <c r="I79" s="106" t="str">
        <f>'Netwrap Calculator'!F4</f>
        <v>John Deere</v>
      </c>
    </row>
    <row r="80" spans="3:12">
      <c r="D80" t="s">
        <v>165</v>
      </c>
      <c r="E80" t="s">
        <v>208</v>
      </c>
      <c r="F80" s="74">
        <v>4</v>
      </c>
      <c r="G80" t="str">
        <f t="shared" si="0"/>
        <v>John DeereCorn Stalks4</v>
      </c>
      <c r="H80" s="106" t="s">
        <v>228</v>
      </c>
      <c r="I80" s="107" t="str">
        <f>'Netwrap Calculator'!F40</f>
        <v>Grass Hay</v>
      </c>
    </row>
    <row r="81" spans="4:9">
      <c r="D81" t="s">
        <v>229</v>
      </c>
      <c r="E81" t="s">
        <v>205</v>
      </c>
      <c r="F81" s="74">
        <v>2</v>
      </c>
      <c r="G81" t="str">
        <f t="shared" si="0"/>
        <v>NH Armour NetSilage2</v>
      </c>
      <c r="H81" s="106" t="s">
        <v>230</v>
      </c>
      <c r="I81" s="123" cm="1">
        <f t="array" ref="I81">INDEX(F76:F325,MATCH(I79&amp;I80,D76:D325&amp;E76:E325,0))</f>
        <v>2</v>
      </c>
    </row>
    <row r="82" spans="4:9">
      <c r="D82" t="s">
        <v>229</v>
      </c>
      <c r="E82" t="s">
        <v>206</v>
      </c>
      <c r="F82" s="74">
        <v>2</v>
      </c>
      <c r="G82" t="str">
        <f t="shared" si="0"/>
        <v>NH Armour NetAlfalfa2</v>
      </c>
      <c r="H82" s="106"/>
    </row>
    <row r="83" spans="4:9">
      <c r="D83" t="s">
        <v>229</v>
      </c>
      <c r="E83" t="s">
        <v>14</v>
      </c>
      <c r="F83" s="74">
        <v>2</v>
      </c>
      <c r="G83" t="str">
        <f t="shared" si="0"/>
        <v>NH Armour NetGrass Hay2</v>
      </c>
    </row>
    <row r="84" spans="4:9">
      <c r="D84" t="s">
        <v>229</v>
      </c>
      <c r="E84" t="s">
        <v>207</v>
      </c>
      <c r="F84" s="74">
        <v>3</v>
      </c>
      <c r="G84" t="str">
        <f t="shared" si="0"/>
        <v>NH Armour NetStraw3</v>
      </c>
      <c r="H84" s="106" t="s">
        <v>231</v>
      </c>
    </row>
    <row r="85" spans="4:9">
      <c r="D85" t="s">
        <v>229</v>
      </c>
      <c r="E85" t="s">
        <v>208</v>
      </c>
      <c r="F85" s="74">
        <v>4</v>
      </c>
      <c r="G85" t="str">
        <f t="shared" si="0"/>
        <v>NH Armour NetCorn Stalks4</v>
      </c>
      <c r="H85" s="106" t="s">
        <v>227</v>
      </c>
      <c r="I85" s="106" t="str">
        <f>'Netwrap Calculator'!G4</f>
        <v>Bale Tuff</v>
      </c>
    </row>
    <row r="86" spans="4:9">
      <c r="D86" t="s">
        <v>232</v>
      </c>
      <c r="E86" t="s">
        <v>205</v>
      </c>
      <c r="F86" s="74">
        <v>2.5</v>
      </c>
      <c r="G86" t="str">
        <f t="shared" si="0"/>
        <v>NH White NetSilage2.5</v>
      </c>
      <c r="H86" s="106" t="s">
        <v>228</v>
      </c>
      <c r="I86" s="107" t="str">
        <f>'Netwrap Calculator'!G40</f>
        <v>Grass Hay</v>
      </c>
    </row>
    <row r="87" spans="4:9">
      <c r="D87" t="s">
        <v>232</v>
      </c>
      <c r="E87" t="s">
        <v>206</v>
      </c>
      <c r="F87" s="74">
        <v>2.5</v>
      </c>
      <c r="G87" t="str">
        <f t="shared" si="0"/>
        <v>NH White NetAlfalfa2.5</v>
      </c>
      <c r="H87" s="106" t="s">
        <v>230</v>
      </c>
      <c r="I87" s="123" cm="1">
        <f t="array" ref="I87">INDEX(F76:F325,MATCH(I85&amp;I86,D76:D325&amp;E76:E325,0))</f>
        <v>2.5</v>
      </c>
    </row>
    <row r="88" spans="4:9">
      <c r="D88" t="s">
        <v>232</v>
      </c>
      <c r="E88" t="s">
        <v>14</v>
      </c>
      <c r="F88" s="74">
        <v>2.5</v>
      </c>
      <c r="G88" t="str">
        <f t="shared" si="0"/>
        <v>NH White NetGrass Hay2.5</v>
      </c>
    </row>
    <row r="89" spans="4:9">
      <c r="D89" t="s">
        <v>232</v>
      </c>
      <c r="E89" t="s">
        <v>207</v>
      </c>
      <c r="F89" s="74">
        <v>3.5</v>
      </c>
      <c r="G89" t="str">
        <f t="shared" si="0"/>
        <v>NH White NetStraw3.5</v>
      </c>
    </row>
    <row r="90" spans="4:9">
      <c r="D90" t="s">
        <v>232</v>
      </c>
      <c r="E90" t="s">
        <v>208</v>
      </c>
      <c r="F90" s="74">
        <v>4.5</v>
      </c>
      <c r="G90" t="str">
        <f t="shared" si="0"/>
        <v>NH White NetCorn Stalks4.5</v>
      </c>
      <c r="H90" s="106" t="s">
        <v>233</v>
      </c>
    </row>
    <row r="91" spans="4:9">
      <c r="D91" t="s">
        <v>234</v>
      </c>
      <c r="E91" t="s">
        <v>205</v>
      </c>
      <c r="F91" s="74">
        <v>2.5</v>
      </c>
      <c r="G91" t="str">
        <f t="shared" si="0"/>
        <v>NH BaleKeeperSilage2.5</v>
      </c>
      <c r="H91" s="106" t="s">
        <v>227</v>
      </c>
      <c r="I91" s="106" t="str">
        <f>'Netwrap Calculator'!H4</f>
        <v>Cordex All Brands</v>
      </c>
    </row>
    <row r="92" spans="4:9">
      <c r="D92" t="s">
        <v>234</v>
      </c>
      <c r="E92" t="s">
        <v>206</v>
      </c>
      <c r="F92" s="74">
        <v>2.5</v>
      </c>
      <c r="G92" t="str">
        <f t="shared" si="0"/>
        <v>NH BaleKeeperAlfalfa2.5</v>
      </c>
      <c r="H92" s="106" t="s">
        <v>228</v>
      </c>
      <c r="I92" s="107" t="str">
        <f>'Netwrap Calculator'!H40</f>
        <v>Grass Hay</v>
      </c>
    </row>
    <row r="93" spans="4:9">
      <c r="D93" t="s">
        <v>234</v>
      </c>
      <c r="E93" t="s">
        <v>14</v>
      </c>
      <c r="F93" s="74">
        <v>2.5</v>
      </c>
      <c r="G93" t="str">
        <f t="shared" si="0"/>
        <v>NH BaleKeeperGrass Hay2.5</v>
      </c>
      <c r="H93" s="106" t="s">
        <v>230</v>
      </c>
      <c r="I93" s="123" cm="1">
        <f t="array" ref="I93">INDEX(F76:F325,MATCH(I91&amp;I92,D76:D325&amp;E76:E325,0))</f>
        <v>3.25</v>
      </c>
    </row>
    <row r="94" spans="4:9">
      <c r="D94" t="s">
        <v>234</v>
      </c>
      <c r="E94" t="s">
        <v>207</v>
      </c>
      <c r="F94" s="74">
        <v>3.5</v>
      </c>
      <c r="G94" t="str">
        <f t="shared" si="0"/>
        <v>NH BaleKeeperStraw3.5</v>
      </c>
    </row>
    <row r="95" spans="4:9">
      <c r="D95" t="s">
        <v>234</v>
      </c>
      <c r="E95" t="s">
        <v>208</v>
      </c>
      <c r="F95" s="74">
        <v>4.5</v>
      </c>
      <c r="G95" t="str">
        <f t="shared" si="0"/>
        <v>NH BaleKeeperCorn Stalks4.5</v>
      </c>
    </row>
    <row r="96" spans="4:9">
      <c r="D96" t="s">
        <v>235</v>
      </c>
      <c r="E96" t="s">
        <v>205</v>
      </c>
      <c r="F96" s="74">
        <v>2</v>
      </c>
      <c r="G96" t="str">
        <f t="shared" si="0"/>
        <v>CASE Armour NetSilage2</v>
      </c>
    </row>
    <row r="97" spans="4:10">
      <c r="D97" t="s">
        <v>235</v>
      </c>
      <c r="E97" t="s">
        <v>206</v>
      </c>
      <c r="F97" s="74">
        <v>2</v>
      </c>
      <c r="G97" t="str">
        <f t="shared" si="0"/>
        <v>CASE Armour NetAlfalfa2</v>
      </c>
    </row>
    <row r="98" spans="4:10">
      <c r="D98" t="s">
        <v>235</v>
      </c>
      <c r="E98" t="s">
        <v>14</v>
      </c>
      <c r="F98" s="74">
        <v>2</v>
      </c>
      <c r="G98" t="str">
        <f t="shared" si="0"/>
        <v>CASE Armour NetGrass Hay2</v>
      </c>
    </row>
    <row r="99" spans="4:10">
      <c r="D99" t="s">
        <v>235</v>
      </c>
      <c r="E99" t="s">
        <v>207</v>
      </c>
      <c r="F99" s="74">
        <v>3</v>
      </c>
      <c r="G99" t="str">
        <f t="shared" si="0"/>
        <v>CASE Armour NetStraw3</v>
      </c>
    </row>
    <row r="100" spans="4:10">
      <c r="D100" t="s">
        <v>235</v>
      </c>
      <c r="E100" t="s">
        <v>208</v>
      </c>
      <c r="F100" s="74">
        <v>4</v>
      </c>
      <c r="G100" t="str">
        <f t="shared" si="0"/>
        <v>CASE Armour NetCorn Stalks4</v>
      </c>
    </row>
    <row r="101" spans="4:10">
      <c r="D101" t="s">
        <v>236</v>
      </c>
      <c r="E101" t="s">
        <v>205</v>
      </c>
      <c r="F101" s="74">
        <v>2.5</v>
      </c>
      <c r="G101" t="str">
        <f t="shared" si="0"/>
        <v>CASE Mesh WrapSilage2.5</v>
      </c>
    </row>
    <row r="102" spans="4:10">
      <c r="D102" t="s">
        <v>236</v>
      </c>
      <c r="E102" t="s">
        <v>206</v>
      </c>
      <c r="F102" s="74">
        <v>2.5</v>
      </c>
      <c r="G102" t="str">
        <f t="shared" si="0"/>
        <v>CASE Mesh WrapAlfalfa2.5</v>
      </c>
    </row>
    <row r="103" spans="4:10">
      <c r="D103" t="s">
        <v>236</v>
      </c>
      <c r="E103" t="s">
        <v>14</v>
      </c>
      <c r="F103" s="74">
        <v>2.5</v>
      </c>
      <c r="G103" t="str">
        <f t="shared" si="0"/>
        <v>CASE Mesh WrapGrass Hay2.5</v>
      </c>
    </row>
    <row r="104" spans="4:10">
      <c r="D104" t="s">
        <v>236</v>
      </c>
      <c r="E104" t="s">
        <v>207</v>
      </c>
      <c r="F104" s="74">
        <v>3.5</v>
      </c>
      <c r="G104" t="str">
        <f t="shared" si="0"/>
        <v>CASE Mesh WrapStraw3.5</v>
      </c>
    </row>
    <row r="105" spans="4:10">
      <c r="D105" t="s">
        <v>236</v>
      </c>
      <c r="E105" t="s">
        <v>208</v>
      </c>
      <c r="F105" s="74">
        <v>4.5</v>
      </c>
      <c r="G105" t="str">
        <f t="shared" si="0"/>
        <v>CASE Mesh WrapCorn Stalks4.5</v>
      </c>
    </row>
    <row r="106" spans="4:10">
      <c r="D106" t="s">
        <v>237</v>
      </c>
      <c r="E106" t="s">
        <v>205</v>
      </c>
      <c r="F106" s="74">
        <v>2.5</v>
      </c>
      <c r="G106" t="str">
        <f t="shared" si="0"/>
        <v>CASE BaleKeeperSilage2.5</v>
      </c>
    </row>
    <row r="107" spans="4:10">
      <c r="D107" t="s">
        <v>237</v>
      </c>
      <c r="E107" t="s">
        <v>206</v>
      </c>
      <c r="F107" s="74">
        <v>2.5</v>
      </c>
      <c r="G107" t="str">
        <f t="shared" si="0"/>
        <v>CASE BaleKeeperAlfalfa2.5</v>
      </c>
    </row>
    <row r="108" spans="4:10">
      <c r="D108" t="s">
        <v>237</v>
      </c>
      <c r="E108" t="s">
        <v>14</v>
      </c>
      <c r="F108" s="74">
        <v>2.5</v>
      </c>
      <c r="G108" t="str">
        <f t="shared" si="0"/>
        <v>CASE BaleKeeperGrass Hay2.5</v>
      </c>
    </row>
    <row r="109" spans="4:10">
      <c r="D109" t="s">
        <v>237</v>
      </c>
      <c r="E109" t="s">
        <v>207</v>
      </c>
      <c r="F109" s="74">
        <v>3.5</v>
      </c>
      <c r="G109" t="str">
        <f t="shared" si="0"/>
        <v>CASE BaleKeeperStraw3.5</v>
      </c>
    </row>
    <row r="110" spans="4:10">
      <c r="D110" t="s">
        <v>237</v>
      </c>
      <c r="E110" t="s">
        <v>208</v>
      </c>
      <c r="F110" s="74">
        <v>4.5</v>
      </c>
      <c r="G110" t="str">
        <f t="shared" si="0"/>
        <v>CASE BaleKeeperCorn Stalks4.5</v>
      </c>
    </row>
    <row r="111" spans="4:10">
      <c r="D111" t="s">
        <v>238</v>
      </c>
      <c r="E111" t="s">
        <v>205</v>
      </c>
      <c r="F111" s="112">
        <v>2</v>
      </c>
      <c r="G111" t="str">
        <f t="shared" si="0"/>
        <v>Bridon Max NetSilage2</v>
      </c>
      <c r="H111" s="115"/>
      <c r="I111" s="115"/>
      <c r="J111" s="116"/>
    </row>
    <row r="112" spans="4:10">
      <c r="D112" t="s">
        <v>238</v>
      </c>
      <c r="E112" t="s">
        <v>206</v>
      </c>
      <c r="F112" s="113">
        <v>2</v>
      </c>
      <c r="G112" t="str">
        <f t="shared" si="0"/>
        <v>Bridon Max NetAlfalfa2</v>
      </c>
      <c r="H112" s="115"/>
      <c r="I112" s="115"/>
      <c r="J112" s="116"/>
    </row>
    <row r="113" spans="4:10">
      <c r="D113" t="s">
        <v>238</v>
      </c>
      <c r="E113" t="s">
        <v>14</v>
      </c>
      <c r="F113" s="113">
        <v>2</v>
      </c>
      <c r="G113" t="str">
        <f t="shared" si="0"/>
        <v>Bridon Max NetGrass Hay2</v>
      </c>
      <c r="H113" s="115"/>
      <c r="I113" s="115"/>
      <c r="J113" s="116"/>
    </row>
    <row r="114" spans="4:10">
      <c r="D114" t="s">
        <v>238</v>
      </c>
      <c r="E114" t="s">
        <v>207</v>
      </c>
      <c r="F114" s="113">
        <v>3</v>
      </c>
      <c r="G114" t="str">
        <f t="shared" si="0"/>
        <v>Bridon Max NetStraw3</v>
      </c>
      <c r="H114" s="115"/>
      <c r="I114" s="115"/>
      <c r="J114" s="116"/>
    </row>
    <row r="115" spans="4:10">
      <c r="D115" t="s">
        <v>238</v>
      </c>
      <c r="E115" t="s">
        <v>208</v>
      </c>
      <c r="F115" s="114">
        <v>4</v>
      </c>
      <c r="G115" t="str">
        <f t="shared" si="0"/>
        <v>Bridon Max NetCorn Stalks4</v>
      </c>
      <c r="H115" s="115"/>
      <c r="I115" s="115"/>
      <c r="J115" s="116"/>
    </row>
    <row r="116" spans="4:10">
      <c r="D116" t="s">
        <v>239</v>
      </c>
      <c r="E116" t="s">
        <v>205</v>
      </c>
      <c r="F116" s="118">
        <v>2.5</v>
      </c>
      <c r="G116" t="str">
        <f t="shared" si="0"/>
        <v>Bridon Integra NetSilage2.5</v>
      </c>
    </row>
    <row r="117" spans="4:10">
      <c r="D117" t="s">
        <v>239</v>
      </c>
      <c r="E117" t="s">
        <v>206</v>
      </c>
      <c r="F117" s="113">
        <v>2.5</v>
      </c>
      <c r="G117" t="str">
        <f t="shared" si="0"/>
        <v>Bridon Integra NetAlfalfa2.5</v>
      </c>
    </row>
    <row r="118" spans="4:10">
      <c r="D118" t="s">
        <v>239</v>
      </c>
      <c r="E118" t="s">
        <v>14</v>
      </c>
      <c r="F118" s="113">
        <v>2.5</v>
      </c>
      <c r="G118" t="str">
        <f t="shared" si="0"/>
        <v>Bridon Integra NetGrass Hay2.5</v>
      </c>
    </row>
    <row r="119" spans="4:10">
      <c r="D119" t="s">
        <v>239</v>
      </c>
      <c r="E119" t="s">
        <v>207</v>
      </c>
      <c r="F119" s="113">
        <v>3.5</v>
      </c>
      <c r="G119" t="str">
        <f t="shared" si="0"/>
        <v>Bridon Integra NetStraw3.5</v>
      </c>
    </row>
    <row r="120" spans="4:10">
      <c r="D120" t="s">
        <v>239</v>
      </c>
      <c r="E120" t="s">
        <v>208</v>
      </c>
      <c r="F120" s="114">
        <v>4.5</v>
      </c>
      <c r="G120" t="str">
        <f t="shared" si="0"/>
        <v>Bridon Integra NetCorn Stalks4.5</v>
      </c>
    </row>
    <row r="121" spans="4:10">
      <c r="D121" t="s">
        <v>240</v>
      </c>
      <c r="E121" t="s">
        <v>205</v>
      </c>
      <c r="F121" s="112">
        <v>2.5</v>
      </c>
      <c r="G121" t="str">
        <f t="shared" si="0"/>
        <v>Bridon MagnetSilage2.5</v>
      </c>
    </row>
    <row r="122" spans="4:10">
      <c r="D122" t="s">
        <v>240</v>
      </c>
      <c r="E122" t="s">
        <v>206</v>
      </c>
      <c r="F122" s="113">
        <v>2.5</v>
      </c>
      <c r="G122" t="str">
        <f t="shared" si="0"/>
        <v>Bridon MagnetAlfalfa2.5</v>
      </c>
    </row>
    <row r="123" spans="4:10">
      <c r="D123" t="s">
        <v>240</v>
      </c>
      <c r="E123" t="s">
        <v>14</v>
      </c>
      <c r="F123" s="113">
        <v>2.5</v>
      </c>
      <c r="G123" t="str">
        <f t="shared" si="0"/>
        <v>Bridon MagnetGrass Hay2.5</v>
      </c>
    </row>
    <row r="124" spans="4:10">
      <c r="D124" t="s">
        <v>240</v>
      </c>
      <c r="E124" t="s">
        <v>207</v>
      </c>
      <c r="F124" s="113">
        <v>3.5</v>
      </c>
      <c r="G124" t="str">
        <f t="shared" si="0"/>
        <v>Bridon MagnetStraw3.5</v>
      </c>
    </row>
    <row r="125" spans="4:10">
      <c r="D125" t="s">
        <v>240</v>
      </c>
      <c r="E125" t="s">
        <v>208</v>
      </c>
      <c r="F125" s="114">
        <v>4.5</v>
      </c>
      <c r="G125" t="str">
        <f t="shared" si="0"/>
        <v>Bridon MagnetCorn Stalks4.5</v>
      </c>
    </row>
    <row r="126" spans="4:10">
      <c r="D126" t="s">
        <v>241</v>
      </c>
      <c r="E126" t="s">
        <v>205</v>
      </c>
      <c r="F126" s="112">
        <v>2.5</v>
      </c>
      <c r="G126" t="str">
        <f t="shared" si="0"/>
        <v>Bridon Varsity NetSilage2.5</v>
      </c>
    </row>
    <row r="127" spans="4:10">
      <c r="D127" t="s">
        <v>241</v>
      </c>
      <c r="E127" t="s">
        <v>206</v>
      </c>
      <c r="F127" s="113">
        <v>2.5</v>
      </c>
      <c r="G127" t="str">
        <f t="shared" si="0"/>
        <v>Bridon Varsity NetAlfalfa2.5</v>
      </c>
    </row>
    <row r="128" spans="4:10">
      <c r="D128" t="s">
        <v>241</v>
      </c>
      <c r="E128" t="s">
        <v>14</v>
      </c>
      <c r="F128" s="113">
        <v>2.5</v>
      </c>
      <c r="G128" t="str">
        <f t="shared" si="0"/>
        <v>Bridon Varsity NetGrass Hay2.5</v>
      </c>
    </row>
    <row r="129" spans="4:7">
      <c r="D129" t="s">
        <v>241</v>
      </c>
      <c r="E129" t="s">
        <v>207</v>
      </c>
      <c r="F129" s="113">
        <v>3.5</v>
      </c>
      <c r="G129" t="str">
        <f t="shared" si="0"/>
        <v>Bridon Varsity NetStraw3.5</v>
      </c>
    </row>
    <row r="130" spans="4:7">
      <c r="D130" t="s">
        <v>241</v>
      </c>
      <c r="E130" t="s">
        <v>208</v>
      </c>
      <c r="F130" s="114">
        <v>4.5</v>
      </c>
      <c r="G130" t="str">
        <f t="shared" si="0"/>
        <v>Bridon Varsity NetCorn Stalks4.5</v>
      </c>
    </row>
    <row r="131" spans="4:7">
      <c r="D131" t="s">
        <v>242</v>
      </c>
      <c r="E131" t="s">
        <v>205</v>
      </c>
      <c r="F131" s="112">
        <v>2.5</v>
      </c>
      <c r="G131" t="str">
        <f t="shared" si="0"/>
        <v>Bridon AmericaNetSilage2.5</v>
      </c>
    </row>
    <row r="132" spans="4:7">
      <c r="D132" t="s">
        <v>242</v>
      </c>
      <c r="E132" t="s">
        <v>206</v>
      </c>
      <c r="F132" s="113">
        <v>2.5</v>
      </c>
      <c r="G132" t="str">
        <f t="shared" si="0"/>
        <v>Bridon AmericaNetAlfalfa2.5</v>
      </c>
    </row>
    <row r="133" spans="4:7">
      <c r="D133" t="s">
        <v>242</v>
      </c>
      <c r="E133" t="s">
        <v>14</v>
      </c>
      <c r="F133" s="113">
        <v>2.5</v>
      </c>
      <c r="G133" t="str">
        <f t="shared" si="0"/>
        <v>Bridon AmericaNetGrass Hay2.5</v>
      </c>
    </row>
    <row r="134" spans="4:7">
      <c r="D134" t="s">
        <v>242</v>
      </c>
      <c r="E134" t="s">
        <v>207</v>
      </c>
      <c r="F134" s="113">
        <v>3.5</v>
      </c>
      <c r="G134" t="str">
        <f t="shared" si="0"/>
        <v>Bridon AmericaNetStraw3.5</v>
      </c>
    </row>
    <row r="135" spans="4:7">
      <c r="D135" t="s">
        <v>242</v>
      </c>
      <c r="E135" t="s">
        <v>208</v>
      </c>
      <c r="F135" s="114">
        <v>4.5</v>
      </c>
      <c r="G135" t="str">
        <f t="shared" si="0"/>
        <v>Bridon AmericaNetCorn Stalks4.5</v>
      </c>
    </row>
    <row r="136" spans="4:7">
      <c r="D136" t="s">
        <v>243</v>
      </c>
      <c r="E136" t="s">
        <v>205</v>
      </c>
      <c r="F136" s="112">
        <v>2</v>
      </c>
      <c r="G136" t="str">
        <f t="shared" si="0"/>
        <v>Kubota NetwrapSilage2</v>
      </c>
    </row>
    <row r="137" spans="4:7">
      <c r="D137" t="s">
        <v>243</v>
      </c>
      <c r="E137" t="s">
        <v>206</v>
      </c>
      <c r="F137" s="113">
        <v>2</v>
      </c>
      <c r="G137" t="str">
        <f t="shared" si="0"/>
        <v>Kubota NetwrapAlfalfa2</v>
      </c>
    </row>
    <row r="138" spans="4:7">
      <c r="D138" t="s">
        <v>243</v>
      </c>
      <c r="E138" t="s">
        <v>14</v>
      </c>
      <c r="F138" s="113">
        <v>2</v>
      </c>
      <c r="G138" t="str">
        <f t="shared" si="0"/>
        <v>Kubota NetwrapGrass Hay2</v>
      </c>
    </row>
    <row r="139" spans="4:7">
      <c r="D139" t="s">
        <v>243</v>
      </c>
      <c r="E139" t="s">
        <v>207</v>
      </c>
      <c r="F139" s="113">
        <v>3</v>
      </c>
      <c r="G139" t="str">
        <f t="shared" si="0"/>
        <v>Kubota NetwrapStraw3</v>
      </c>
    </row>
    <row r="140" spans="4:7">
      <c r="D140" t="s">
        <v>243</v>
      </c>
      <c r="E140" t="s">
        <v>208</v>
      </c>
      <c r="F140" s="114">
        <v>4</v>
      </c>
      <c r="G140" t="str">
        <f t="shared" ref="G140:G203" si="1">D140&amp;E140&amp;F140</f>
        <v>Kubota NetwrapCorn Stalks4</v>
      </c>
    </row>
    <row r="141" spans="4:7">
      <c r="D141" t="s">
        <v>244</v>
      </c>
      <c r="E141" t="s">
        <v>205</v>
      </c>
      <c r="F141" s="112">
        <v>2</v>
      </c>
      <c r="G141" t="str">
        <f t="shared" si="1"/>
        <v>Claas NetSilage2</v>
      </c>
    </row>
    <row r="142" spans="4:7">
      <c r="D142" t="s">
        <v>244</v>
      </c>
      <c r="E142" t="s">
        <v>206</v>
      </c>
      <c r="F142" s="113">
        <v>2</v>
      </c>
      <c r="G142" t="str">
        <f t="shared" si="1"/>
        <v>Claas NetAlfalfa2</v>
      </c>
    </row>
    <row r="143" spans="4:7">
      <c r="D143" t="s">
        <v>244</v>
      </c>
      <c r="E143" t="s">
        <v>14</v>
      </c>
      <c r="F143" s="113">
        <v>2</v>
      </c>
      <c r="G143" t="str">
        <f t="shared" si="1"/>
        <v>Claas NetGrass Hay2</v>
      </c>
    </row>
    <row r="144" spans="4:7">
      <c r="D144" t="s">
        <v>244</v>
      </c>
      <c r="E144" t="s">
        <v>207</v>
      </c>
      <c r="F144" s="113">
        <v>3</v>
      </c>
      <c r="G144" t="str">
        <f t="shared" si="1"/>
        <v>Claas NetStraw3</v>
      </c>
    </row>
    <row r="145" spans="4:7">
      <c r="D145" t="s">
        <v>244</v>
      </c>
      <c r="E145" t="s">
        <v>208</v>
      </c>
      <c r="F145" s="114">
        <v>4</v>
      </c>
      <c r="G145" t="str">
        <f t="shared" si="1"/>
        <v>Claas NetCorn Stalks4</v>
      </c>
    </row>
    <row r="146" spans="4:7">
      <c r="D146" t="s">
        <v>245</v>
      </c>
      <c r="E146" t="s">
        <v>205</v>
      </c>
      <c r="F146" s="112">
        <v>2</v>
      </c>
      <c r="G146" t="str">
        <f t="shared" si="1"/>
        <v>TamaNet TT+Silage2</v>
      </c>
    </row>
    <row r="147" spans="4:7">
      <c r="D147" t="s">
        <v>245</v>
      </c>
      <c r="E147" t="s">
        <v>206</v>
      </c>
      <c r="F147" s="113">
        <v>2</v>
      </c>
      <c r="G147" t="str">
        <f t="shared" si="1"/>
        <v>TamaNet TT+Alfalfa2</v>
      </c>
    </row>
    <row r="148" spans="4:7">
      <c r="D148" t="s">
        <v>245</v>
      </c>
      <c r="E148" t="s">
        <v>14</v>
      </c>
      <c r="F148" s="113">
        <v>2</v>
      </c>
      <c r="G148" t="str">
        <f t="shared" si="1"/>
        <v>TamaNet TT+Grass Hay2</v>
      </c>
    </row>
    <row r="149" spans="4:7">
      <c r="D149" t="s">
        <v>245</v>
      </c>
      <c r="E149" t="s">
        <v>207</v>
      </c>
      <c r="F149" s="113">
        <v>3</v>
      </c>
      <c r="G149" t="str">
        <f t="shared" si="1"/>
        <v>TamaNet TT+Straw3</v>
      </c>
    </row>
    <row r="150" spans="4:7">
      <c r="D150" t="s">
        <v>245</v>
      </c>
      <c r="E150" t="s">
        <v>208</v>
      </c>
      <c r="F150" s="114">
        <v>4</v>
      </c>
      <c r="G150" t="str">
        <f t="shared" si="1"/>
        <v>TamaNet TT+Corn Stalks4</v>
      </c>
    </row>
    <row r="151" spans="4:7">
      <c r="D151" t="s">
        <v>246</v>
      </c>
      <c r="E151" t="s">
        <v>205</v>
      </c>
      <c r="F151" s="112">
        <v>2</v>
      </c>
      <c r="G151" t="str">
        <f t="shared" si="1"/>
        <v>Tama Golden HarvestSilage2</v>
      </c>
    </row>
    <row r="152" spans="4:7">
      <c r="D152" t="s">
        <v>246</v>
      </c>
      <c r="E152" t="s">
        <v>206</v>
      </c>
      <c r="F152" s="113">
        <v>2.5</v>
      </c>
      <c r="G152" t="str">
        <f t="shared" si="1"/>
        <v>Tama Golden HarvestAlfalfa2.5</v>
      </c>
    </row>
    <row r="153" spans="4:7">
      <c r="D153" t="s">
        <v>246</v>
      </c>
      <c r="E153" t="s">
        <v>14</v>
      </c>
      <c r="F153" s="113">
        <v>2.5</v>
      </c>
      <c r="G153" t="str">
        <f t="shared" si="1"/>
        <v>Tama Golden HarvestGrass Hay2.5</v>
      </c>
    </row>
    <row r="154" spans="4:7">
      <c r="D154" t="s">
        <v>246</v>
      </c>
      <c r="E154" t="s">
        <v>207</v>
      </c>
      <c r="F154" s="113">
        <v>3.5</v>
      </c>
      <c r="G154" t="str">
        <f t="shared" si="1"/>
        <v>Tama Golden HarvestStraw3.5</v>
      </c>
    </row>
    <row r="155" spans="4:7">
      <c r="D155" t="s">
        <v>246</v>
      </c>
      <c r="E155" t="s">
        <v>208</v>
      </c>
      <c r="F155" s="114">
        <v>4.5</v>
      </c>
      <c r="G155" t="str">
        <f t="shared" si="1"/>
        <v>Tama Golden HarvestCorn Stalks4.5</v>
      </c>
    </row>
    <row r="156" spans="4:7">
      <c r="D156" t="s">
        <v>145</v>
      </c>
      <c r="E156" t="s">
        <v>205</v>
      </c>
      <c r="F156" s="112">
        <v>2</v>
      </c>
      <c r="G156" t="str">
        <f t="shared" si="1"/>
        <v>EcoBullSilage2</v>
      </c>
    </row>
    <row r="157" spans="4:7">
      <c r="D157" t="s">
        <v>145</v>
      </c>
      <c r="E157" t="s">
        <v>206</v>
      </c>
      <c r="F157" s="113">
        <v>3</v>
      </c>
      <c r="G157" t="str">
        <f t="shared" si="1"/>
        <v>EcoBullAlfalfa3</v>
      </c>
    </row>
    <row r="158" spans="4:7">
      <c r="D158" t="s">
        <v>145</v>
      </c>
      <c r="E158" t="s">
        <v>14</v>
      </c>
      <c r="F158" s="113">
        <v>3</v>
      </c>
      <c r="G158" t="str">
        <f t="shared" si="1"/>
        <v>EcoBullGrass Hay3</v>
      </c>
    </row>
    <row r="159" spans="4:7">
      <c r="D159" t="s">
        <v>145</v>
      </c>
      <c r="E159" t="s">
        <v>207</v>
      </c>
      <c r="F159" s="113">
        <v>4</v>
      </c>
      <c r="G159" t="str">
        <f t="shared" si="1"/>
        <v>EcoBullStraw4</v>
      </c>
    </row>
    <row r="160" spans="4:7">
      <c r="D160" t="s">
        <v>145</v>
      </c>
      <c r="E160" t="s">
        <v>208</v>
      </c>
      <c r="F160" s="114">
        <v>5</v>
      </c>
      <c r="G160" t="str">
        <f t="shared" si="1"/>
        <v>EcoBullCorn Stalks5</v>
      </c>
    </row>
    <row r="161" spans="4:7">
      <c r="D161" t="s">
        <v>247</v>
      </c>
      <c r="E161" t="s">
        <v>205</v>
      </c>
      <c r="F161" s="112">
        <v>2.5</v>
      </c>
      <c r="G161" t="str">
        <f t="shared" si="1"/>
        <v>BaleBindSilage2.5</v>
      </c>
    </row>
    <row r="162" spans="4:7">
      <c r="D162" t="s">
        <v>247</v>
      </c>
      <c r="E162" t="s">
        <v>206</v>
      </c>
      <c r="F162" s="113">
        <v>2.5</v>
      </c>
      <c r="G162" t="str">
        <f t="shared" si="1"/>
        <v>BaleBindAlfalfa2.5</v>
      </c>
    </row>
    <row r="163" spans="4:7">
      <c r="D163" t="s">
        <v>247</v>
      </c>
      <c r="E163" t="s">
        <v>14</v>
      </c>
      <c r="F163" s="113">
        <v>2.5</v>
      </c>
      <c r="G163" t="str">
        <f t="shared" si="1"/>
        <v>BaleBindGrass Hay2.5</v>
      </c>
    </row>
    <row r="164" spans="4:7">
      <c r="D164" t="s">
        <v>247</v>
      </c>
      <c r="E164" t="s">
        <v>207</v>
      </c>
      <c r="F164" s="113">
        <v>3.5</v>
      </c>
      <c r="G164" t="str">
        <f t="shared" si="1"/>
        <v>BaleBindStraw3.5</v>
      </c>
    </row>
    <row r="165" spans="4:7">
      <c r="D165" t="s">
        <v>247</v>
      </c>
      <c r="E165" t="s">
        <v>208</v>
      </c>
      <c r="F165" s="114">
        <v>4.5</v>
      </c>
      <c r="G165" t="str">
        <f t="shared" si="1"/>
        <v>BaleBindCorn Stalks4.5</v>
      </c>
    </row>
    <row r="166" spans="4:7">
      <c r="D166" t="s">
        <v>248</v>
      </c>
      <c r="E166" t="s">
        <v>205</v>
      </c>
      <c r="F166" s="114">
        <v>2.5</v>
      </c>
      <c r="G166" t="str">
        <f t="shared" si="1"/>
        <v>VermeerSilage2.5</v>
      </c>
    </row>
    <row r="167" spans="4:7">
      <c r="D167" t="s">
        <v>248</v>
      </c>
      <c r="E167" t="s">
        <v>206</v>
      </c>
      <c r="F167" s="114">
        <v>2.5</v>
      </c>
      <c r="G167" t="str">
        <f t="shared" si="1"/>
        <v>VermeerAlfalfa2.5</v>
      </c>
    </row>
    <row r="168" spans="4:7">
      <c r="D168" t="s">
        <v>248</v>
      </c>
      <c r="E168" t="s">
        <v>14</v>
      </c>
      <c r="F168" s="114">
        <v>3</v>
      </c>
      <c r="G168" t="str">
        <f t="shared" si="1"/>
        <v>VermeerGrass Hay3</v>
      </c>
    </row>
    <row r="169" spans="4:7">
      <c r="D169" t="s">
        <v>248</v>
      </c>
      <c r="E169" t="s">
        <v>207</v>
      </c>
      <c r="F169" s="114">
        <v>4</v>
      </c>
      <c r="G169" t="str">
        <f t="shared" si="1"/>
        <v>VermeerStraw4</v>
      </c>
    </row>
    <row r="170" spans="4:7">
      <c r="D170" t="s">
        <v>248</v>
      </c>
      <c r="E170" t="s">
        <v>208</v>
      </c>
      <c r="F170" s="114">
        <v>4</v>
      </c>
      <c r="G170" t="str">
        <f t="shared" si="1"/>
        <v>VermeerCorn Stalks4</v>
      </c>
    </row>
    <row r="171" spans="4:7">
      <c r="D171" t="s">
        <v>169</v>
      </c>
      <c r="E171" t="s">
        <v>205</v>
      </c>
      <c r="F171" s="114">
        <v>2.25</v>
      </c>
      <c r="G171" t="str">
        <f t="shared" si="1"/>
        <v>Nature's Net WrapSilage2.25</v>
      </c>
    </row>
    <row r="172" spans="4:7">
      <c r="D172" t="s">
        <v>169</v>
      </c>
      <c r="E172" t="s">
        <v>206</v>
      </c>
      <c r="F172" s="114">
        <v>2.25</v>
      </c>
      <c r="G172" t="str">
        <f t="shared" si="1"/>
        <v>Nature's Net WrapAlfalfa2.25</v>
      </c>
    </row>
    <row r="173" spans="4:7">
      <c r="D173" t="s">
        <v>169</v>
      </c>
      <c r="E173" t="s">
        <v>14</v>
      </c>
      <c r="F173" s="114">
        <v>2.25</v>
      </c>
      <c r="G173" t="str">
        <f t="shared" si="1"/>
        <v>Nature's Net WrapGrass Hay2.25</v>
      </c>
    </row>
    <row r="174" spans="4:7">
      <c r="D174" t="s">
        <v>169</v>
      </c>
      <c r="E174" t="s">
        <v>207</v>
      </c>
      <c r="F174" s="114">
        <v>3.25</v>
      </c>
      <c r="G174" t="str">
        <f t="shared" si="1"/>
        <v>Nature's Net WrapStraw3.25</v>
      </c>
    </row>
    <row r="175" spans="4:7">
      <c r="D175" t="s">
        <v>169</v>
      </c>
      <c r="E175" t="s">
        <v>208</v>
      </c>
      <c r="F175" s="114">
        <v>3.25</v>
      </c>
      <c r="G175" t="str">
        <f t="shared" si="1"/>
        <v>Nature's Net WrapCorn Stalks3.25</v>
      </c>
    </row>
    <row r="176" spans="4:7">
      <c r="D176" t="s">
        <v>249</v>
      </c>
      <c r="E176" t="s">
        <v>205</v>
      </c>
      <c r="F176" s="112">
        <v>2.5</v>
      </c>
      <c r="G176" t="str">
        <f t="shared" si="1"/>
        <v>T&amp;HSilage2.5</v>
      </c>
    </row>
    <row r="177" spans="4:7">
      <c r="D177" t="s">
        <v>249</v>
      </c>
      <c r="E177" t="s">
        <v>206</v>
      </c>
      <c r="F177" s="113">
        <v>2.5</v>
      </c>
      <c r="G177" t="str">
        <f t="shared" si="1"/>
        <v>T&amp;HAlfalfa2.5</v>
      </c>
    </row>
    <row r="178" spans="4:7">
      <c r="D178" t="s">
        <v>249</v>
      </c>
      <c r="E178" t="s">
        <v>14</v>
      </c>
      <c r="F178" s="113">
        <v>3.5</v>
      </c>
      <c r="G178" t="str">
        <f t="shared" si="1"/>
        <v>T&amp;HGrass Hay3.5</v>
      </c>
    </row>
    <row r="179" spans="4:7">
      <c r="D179" t="s">
        <v>249</v>
      </c>
      <c r="E179" t="s">
        <v>207</v>
      </c>
      <c r="F179" s="113">
        <v>3.5</v>
      </c>
      <c r="G179" t="str">
        <f t="shared" si="1"/>
        <v>T&amp;HStraw3.5</v>
      </c>
    </row>
    <row r="180" spans="4:7">
      <c r="D180" t="s">
        <v>249</v>
      </c>
      <c r="E180" t="s">
        <v>208</v>
      </c>
      <c r="F180" s="114">
        <v>5</v>
      </c>
      <c r="G180" t="str">
        <f t="shared" si="1"/>
        <v>T&amp;HCorn Stalks5</v>
      </c>
    </row>
    <row r="181" spans="4:7">
      <c r="D181" t="s">
        <v>141</v>
      </c>
      <c r="E181" t="s">
        <v>205</v>
      </c>
      <c r="F181" s="112">
        <v>2</v>
      </c>
      <c r="G181" t="str">
        <f t="shared" si="1"/>
        <v>Country TuffSilage2</v>
      </c>
    </row>
    <row r="182" spans="4:7">
      <c r="D182" t="s">
        <v>141</v>
      </c>
      <c r="E182" t="s">
        <v>206</v>
      </c>
      <c r="F182" s="113" t="s">
        <v>250</v>
      </c>
      <c r="G182" t="str">
        <f t="shared" si="1"/>
        <v>Country TuffAlfalfa2</v>
      </c>
    </row>
    <row r="183" spans="4:7">
      <c r="D183" t="s">
        <v>141</v>
      </c>
      <c r="E183" t="s">
        <v>14</v>
      </c>
      <c r="F183" s="113" t="s">
        <v>251</v>
      </c>
      <c r="G183" t="str">
        <f t="shared" si="1"/>
        <v>Country TuffGrass Hay3</v>
      </c>
    </row>
    <row r="184" spans="4:7">
      <c r="D184" t="s">
        <v>141</v>
      </c>
      <c r="E184" t="s">
        <v>207</v>
      </c>
      <c r="F184" s="113" t="s">
        <v>251</v>
      </c>
      <c r="G184" t="str">
        <f t="shared" si="1"/>
        <v>Country TuffStraw3</v>
      </c>
    </row>
    <row r="185" spans="4:7">
      <c r="D185" t="s">
        <v>141</v>
      </c>
      <c r="E185" t="s">
        <v>208</v>
      </c>
      <c r="F185" s="114">
        <v>4</v>
      </c>
      <c r="G185" t="str">
        <f t="shared" si="1"/>
        <v>Country TuffCorn Stalks4</v>
      </c>
    </row>
    <row r="186" spans="4:7">
      <c r="D186" t="s">
        <v>134</v>
      </c>
      <c r="E186" t="s">
        <v>205</v>
      </c>
      <c r="F186" s="74">
        <v>2.5</v>
      </c>
      <c r="G186" t="str">
        <f t="shared" si="1"/>
        <v>Bale TuffSilage2.5</v>
      </c>
    </row>
    <row r="187" spans="4:7">
      <c r="D187" t="s">
        <v>134</v>
      </c>
      <c r="E187" t="s">
        <v>206</v>
      </c>
      <c r="F187" s="74">
        <v>2.5</v>
      </c>
      <c r="G187" t="str">
        <f t="shared" si="1"/>
        <v>Bale TuffAlfalfa2.5</v>
      </c>
    </row>
    <row r="188" spans="4:7">
      <c r="D188" t="s">
        <v>134</v>
      </c>
      <c r="E188" t="s">
        <v>14</v>
      </c>
      <c r="F188" s="74">
        <v>2.5</v>
      </c>
      <c r="G188" t="str">
        <f t="shared" si="1"/>
        <v>Bale TuffGrass Hay2.5</v>
      </c>
    </row>
    <row r="189" spans="4:7">
      <c r="D189" t="s">
        <v>134</v>
      </c>
      <c r="E189" t="s">
        <v>207</v>
      </c>
      <c r="F189" s="74">
        <v>3.5</v>
      </c>
      <c r="G189" t="str">
        <f t="shared" si="1"/>
        <v>Bale TuffStraw3.5</v>
      </c>
    </row>
    <row r="190" spans="4:7">
      <c r="D190" t="s">
        <v>134</v>
      </c>
      <c r="E190" t="s">
        <v>208</v>
      </c>
      <c r="F190" s="74">
        <v>4.5</v>
      </c>
      <c r="G190" t="str">
        <f t="shared" si="1"/>
        <v>Bale TuffCorn Stalks4.5</v>
      </c>
    </row>
    <row r="191" spans="4:7">
      <c r="D191" t="s">
        <v>174</v>
      </c>
      <c r="E191" t="s">
        <v>205</v>
      </c>
      <c r="F191" s="74">
        <v>2</v>
      </c>
      <c r="G191" t="str">
        <f t="shared" si="1"/>
        <v>PritchettSilage2</v>
      </c>
    </row>
    <row r="192" spans="4:7">
      <c r="D192" t="s">
        <v>174</v>
      </c>
      <c r="E192" t="s">
        <v>206</v>
      </c>
      <c r="F192" s="74">
        <v>2</v>
      </c>
      <c r="G192" t="str">
        <f t="shared" si="1"/>
        <v>PritchettAlfalfa2</v>
      </c>
    </row>
    <row r="193" spans="4:7">
      <c r="D193" t="s">
        <v>174</v>
      </c>
      <c r="E193" t="s">
        <v>14</v>
      </c>
      <c r="F193" s="74">
        <v>3</v>
      </c>
      <c r="G193" t="str">
        <f t="shared" si="1"/>
        <v>PritchettGrass Hay3</v>
      </c>
    </row>
    <row r="194" spans="4:7">
      <c r="D194" t="s">
        <v>174</v>
      </c>
      <c r="E194" t="s">
        <v>207</v>
      </c>
      <c r="F194" s="74">
        <v>4.5</v>
      </c>
      <c r="G194" t="str">
        <f t="shared" si="1"/>
        <v>PritchettStraw4.5</v>
      </c>
    </row>
    <row r="195" spans="4:7">
      <c r="D195" t="s">
        <v>174</v>
      </c>
      <c r="E195" t="s">
        <v>208</v>
      </c>
      <c r="F195" s="74">
        <v>4.5</v>
      </c>
      <c r="G195" t="str">
        <f t="shared" si="1"/>
        <v>PritchettCorn Stalks4.5</v>
      </c>
    </row>
    <row r="196" spans="4:7">
      <c r="D196" t="s">
        <v>173</v>
      </c>
      <c r="E196" t="s">
        <v>205</v>
      </c>
      <c r="F196" s="74">
        <v>2</v>
      </c>
      <c r="G196" t="str">
        <f t="shared" si="1"/>
        <v>PatriotSilage2</v>
      </c>
    </row>
    <row r="197" spans="4:7">
      <c r="D197" t="s">
        <v>173</v>
      </c>
      <c r="E197" t="s">
        <v>206</v>
      </c>
      <c r="F197" s="74">
        <v>2</v>
      </c>
      <c r="G197" t="str">
        <f t="shared" si="1"/>
        <v>PatriotAlfalfa2</v>
      </c>
    </row>
    <row r="198" spans="4:7">
      <c r="D198" t="s">
        <v>173</v>
      </c>
      <c r="E198" t="s">
        <v>14</v>
      </c>
      <c r="F198" s="74">
        <v>3</v>
      </c>
      <c r="G198" t="str">
        <f t="shared" si="1"/>
        <v>PatriotGrass Hay3</v>
      </c>
    </row>
    <row r="199" spans="4:7">
      <c r="D199" t="s">
        <v>173</v>
      </c>
      <c r="E199" t="s">
        <v>207</v>
      </c>
      <c r="F199" s="74">
        <v>4</v>
      </c>
      <c r="G199" t="str">
        <f t="shared" si="1"/>
        <v>PatriotStraw4</v>
      </c>
    </row>
    <row r="200" spans="4:7">
      <c r="D200" t="s">
        <v>173</v>
      </c>
      <c r="E200" t="s">
        <v>208</v>
      </c>
      <c r="F200" s="74">
        <v>4</v>
      </c>
      <c r="G200" t="str">
        <f t="shared" si="1"/>
        <v>PatriotCorn Stalks4</v>
      </c>
    </row>
    <row r="201" spans="4:7">
      <c r="D201" t="s">
        <v>132</v>
      </c>
      <c r="E201" t="s">
        <v>205</v>
      </c>
      <c r="F201" s="74">
        <v>2.5</v>
      </c>
      <c r="G201" t="str">
        <f t="shared" si="1"/>
        <v>American FamilySilage2.5</v>
      </c>
    </row>
    <row r="202" spans="4:7">
      <c r="D202" t="s">
        <v>132</v>
      </c>
      <c r="E202" t="s">
        <v>206</v>
      </c>
      <c r="F202" s="74">
        <v>2.5</v>
      </c>
      <c r="G202" t="str">
        <f t="shared" si="1"/>
        <v>American FamilyAlfalfa2.5</v>
      </c>
    </row>
    <row r="203" spans="4:7">
      <c r="D203" t="s">
        <v>132</v>
      </c>
      <c r="E203" t="s">
        <v>14</v>
      </c>
      <c r="F203" s="74">
        <v>2.5</v>
      </c>
      <c r="G203" t="str">
        <f t="shared" si="1"/>
        <v>American FamilyGrass Hay2.5</v>
      </c>
    </row>
    <row r="204" spans="4:7">
      <c r="D204" t="s">
        <v>132</v>
      </c>
      <c r="E204" t="s">
        <v>207</v>
      </c>
      <c r="F204" s="74">
        <v>3.5</v>
      </c>
      <c r="G204" t="str">
        <f t="shared" ref="G204:G267" si="2">D204&amp;E204&amp;F204</f>
        <v>American FamilyStraw3.5</v>
      </c>
    </row>
    <row r="205" spans="4:7">
      <c r="D205" t="s">
        <v>132</v>
      </c>
      <c r="E205" t="s">
        <v>208</v>
      </c>
      <c r="F205" s="74">
        <v>4.5</v>
      </c>
      <c r="G205" t="str">
        <f t="shared" si="2"/>
        <v>American FamilyCorn Stalks4.5</v>
      </c>
    </row>
    <row r="206" spans="4:7">
      <c r="D206" t="s">
        <v>182</v>
      </c>
      <c r="E206" t="s">
        <v>205</v>
      </c>
      <c r="F206" s="112">
        <v>2</v>
      </c>
      <c r="G206" t="str">
        <f t="shared" si="2"/>
        <v>Swanson AgSilage2</v>
      </c>
    </row>
    <row r="207" spans="4:7">
      <c r="D207" t="s">
        <v>182</v>
      </c>
      <c r="E207" t="s">
        <v>206</v>
      </c>
      <c r="F207" s="113">
        <v>2</v>
      </c>
      <c r="G207" t="str">
        <f t="shared" si="2"/>
        <v>Swanson AgAlfalfa2</v>
      </c>
    </row>
    <row r="208" spans="4:7">
      <c r="D208" t="s">
        <v>182</v>
      </c>
      <c r="E208" t="s">
        <v>14</v>
      </c>
      <c r="F208" s="113">
        <v>3</v>
      </c>
      <c r="G208" t="str">
        <f t="shared" si="2"/>
        <v>Swanson AgGrass Hay3</v>
      </c>
    </row>
    <row r="209" spans="4:7">
      <c r="D209" t="s">
        <v>182</v>
      </c>
      <c r="E209" t="s">
        <v>207</v>
      </c>
      <c r="F209" s="113">
        <v>3</v>
      </c>
      <c r="G209" t="str">
        <f t="shared" si="2"/>
        <v>Swanson AgStraw3</v>
      </c>
    </row>
    <row r="210" spans="4:7">
      <c r="D210" t="s">
        <v>182</v>
      </c>
      <c r="E210" t="s">
        <v>208</v>
      </c>
      <c r="F210" s="114">
        <v>4.5</v>
      </c>
      <c r="G210" t="str">
        <f t="shared" si="2"/>
        <v>Swanson AgCorn Stalks4.5</v>
      </c>
    </row>
    <row r="211" spans="4:7">
      <c r="D211" t="s">
        <v>193</v>
      </c>
      <c r="E211" t="s">
        <v>205</v>
      </c>
      <c r="F211" s="113">
        <v>2</v>
      </c>
      <c r="G211" t="str">
        <f t="shared" si="2"/>
        <v>TytanSilage2</v>
      </c>
    </row>
    <row r="212" spans="4:7">
      <c r="D212" t="s">
        <v>193</v>
      </c>
      <c r="E212" t="s">
        <v>206</v>
      </c>
      <c r="F212" s="113">
        <v>3</v>
      </c>
      <c r="G212" t="str">
        <f t="shared" si="2"/>
        <v>TytanAlfalfa3</v>
      </c>
    </row>
    <row r="213" spans="4:7">
      <c r="D213" t="s">
        <v>193</v>
      </c>
      <c r="E213" t="s">
        <v>14</v>
      </c>
      <c r="F213" s="113">
        <v>3</v>
      </c>
      <c r="G213" t="str">
        <f t="shared" si="2"/>
        <v>TytanGrass Hay3</v>
      </c>
    </row>
    <row r="214" spans="4:7">
      <c r="D214" t="s">
        <v>193</v>
      </c>
      <c r="E214" t="s">
        <v>207</v>
      </c>
      <c r="F214" s="113">
        <v>4</v>
      </c>
      <c r="G214" t="str">
        <f t="shared" si="2"/>
        <v>TytanStraw4</v>
      </c>
    </row>
    <row r="215" spans="4:7">
      <c r="D215" t="s">
        <v>193</v>
      </c>
      <c r="E215" t="s">
        <v>208</v>
      </c>
      <c r="F215" s="114">
        <v>4.5</v>
      </c>
      <c r="G215" t="str">
        <f t="shared" si="2"/>
        <v>TytanCorn Stalks4.5</v>
      </c>
    </row>
    <row r="216" spans="4:7">
      <c r="D216" t="s">
        <v>159</v>
      </c>
      <c r="E216" t="s">
        <v>205</v>
      </c>
      <c r="F216" s="112">
        <v>2</v>
      </c>
      <c r="G216" t="str">
        <f t="shared" si="2"/>
        <v>Harvest MasterSilage2</v>
      </c>
    </row>
    <row r="217" spans="4:7">
      <c r="D217" t="s">
        <v>159</v>
      </c>
      <c r="E217" t="s">
        <v>206</v>
      </c>
      <c r="F217" s="113">
        <v>2</v>
      </c>
      <c r="G217" t="str">
        <f t="shared" si="2"/>
        <v>Harvest MasterAlfalfa2</v>
      </c>
    </row>
    <row r="218" spans="4:7">
      <c r="D218" t="s">
        <v>159</v>
      </c>
      <c r="E218" t="s">
        <v>14</v>
      </c>
      <c r="F218" s="113">
        <v>3</v>
      </c>
      <c r="G218" t="str">
        <f t="shared" si="2"/>
        <v>Harvest MasterGrass Hay3</v>
      </c>
    </row>
    <row r="219" spans="4:7">
      <c r="D219" t="s">
        <v>159</v>
      </c>
      <c r="E219" t="s">
        <v>207</v>
      </c>
      <c r="F219" s="113">
        <v>3</v>
      </c>
      <c r="G219" t="str">
        <f t="shared" si="2"/>
        <v>Harvest MasterStraw3</v>
      </c>
    </row>
    <row r="220" spans="4:7">
      <c r="D220" t="s">
        <v>159</v>
      </c>
      <c r="E220" t="s">
        <v>208</v>
      </c>
      <c r="F220" s="114">
        <v>4</v>
      </c>
      <c r="G220" t="str">
        <f t="shared" si="2"/>
        <v>Harvest MasterCorn Stalks4</v>
      </c>
    </row>
    <row r="221" spans="4:7">
      <c r="D221" t="s">
        <v>157</v>
      </c>
      <c r="E221" t="s">
        <v>205</v>
      </c>
      <c r="F221" s="112">
        <v>2.5</v>
      </c>
      <c r="G221" t="str">
        <f t="shared" si="2"/>
        <v>Great American NetwrapSilage2.5</v>
      </c>
    </row>
    <row r="222" spans="4:7">
      <c r="D222" t="s">
        <v>157</v>
      </c>
      <c r="E222" t="s">
        <v>206</v>
      </c>
      <c r="F222" s="113">
        <v>2.5</v>
      </c>
      <c r="G222" t="str">
        <f t="shared" si="2"/>
        <v>Great American NetwrapAlfalfa2.5</v>
      </c>
    </row>
    <row r="223" spans="4:7">
      <c r="D223" t="s">
        <v>157</v>
      </c>
      <c r="E223" t="s">
        <v>14</v>
      </c>
      <c r="F223" s="112">
        <v>3</v>
      </c>
      <c r="G223" t="str">
        <f t="shared" si="2"/>
        <v>Great American NetwrapGrass Hay3</v>
      </c>
    </row>
    <row r="224" spans="4:7">
      <c r="D224" t="s">
        <v>157</v>
      </c>
      <c r="E224" t="s">
        <v>207</v>
      </c>
      <c r="F224" s="113">
        <v>3</v>
      </c>
      <c r="G224" t="str">
        <f t="shared" si="2"/>
        <v>Great American NetwrapStraw3</v>
      </c>
    </row>
    <row r="225" spans="4:7">
      <c r="D225" t="s">
        <v>157</v>
      </c>
      <c r="E225" t="s">
        <v>208</v>
      </c>
      <c r="F225" s="114">
        <v>4</v>
      </c>
      <c r="G225" t="str">
        <f t="shared" si="2"/>
        <v>Great American NetwrapCorn Stalks4</v>
      </c>
    </row>
    <row r="226" spans="4:7">
      <c r="D226" t="s">
        <v>143</v>
      </c>
      <c r="E226" t="s">
        <v>205</v>
      </c>
      <c r="F226" s="112">
        <v>2.5</v>
      </c>
      <c r="G226" t="str">
        <f t="shared" si="2"/>
        <v>DominetSilage2.5</v>
      </c>
    </row>
    <row r="227" spans="4:7">
      <c r="D227" t="s">
        <v>143</v>
      </c>
      <c r="E227" t="s">
        <v>206</v>
      </c>
      <c r="F227" s="113">
        <v>3.5</v>
      </c>
      <c r="G227" t="str">
        <f t="shared" si="2"/>
        <v>DominetAlfalfa3.5</v>
      </c>
    </row>
    <row r="228" spans="4:7">
      <c r="D228" t="s">
        <v>143</v>
      </c>
      <c r="E228" t="s">
        <v>14</v>
      </c>
      <c r="F228" s="113">
        <v>3.5</v>
      </c>
      <c r="G228" t="str">
        <f t="shared" si="2"/>
        <v>DominetGrass Hay3.5</v>
      </c>
    </row>
    <row r="229" spans="4:7">
      <c r="D229" t="s">
        <v>143</v>
      </c>
      <c r="E229" t="s">
        <v>207</v>
      </c>
      <c r="F229" s="113">
        <v>4.5</v>
      </c>
      <c r="G229" t="str">
        <f t="shared" si="2"/>
        <v>DominetStraw4.5</v>
      </c>
    </row>
    <row r="230" spans="4:7">
      <c r="D230" t="s">
        <v>143</v>
      </c>
      <c r="E230" t="s">
        <v>208</v>
      </c>
      <c r="F230" s="114">
        <v>5</v>
      </c>
      <c r="G230" t="str">
        <f t="shared" si="2"/>
        <v>DominetCorn Stalks5</v>
      </c>
    </row>
    <row r="231" spans="4:7">
      <c r="D231" t="s">
        <v>252</v>
      </c>
      <c r="E231" t="s">
        <v>205</v>
      </c>
      <c r="F231" s="113">
        <v>3</v>
      </c>
      <c r="G231" t="str">
        <f t="shared" si="2"/>
        <v>Field ReadySilage3</v>
      </c>
    </row>
    <row r="232" spans="4:7">
      <c r="D232" t="s">
        <v>252</v>
      </c>
      <c r="E232" t="s">
        <v>206</v>
      </c>
      <c r="F232" s="113">
        <v>4</v>
      </c>
      <c r="G232" t="str">
        <f t="shared" si="2"/>
        <v>Field ReadyAlfalfa4</v>
      </c>
    </row>
    <row r="233" spans="4:7">
      <c r="D233" t="s">
        <v>252</v>
      </c>
      <c r="E233" t="s">
        <v>14</v>
      </c>
      <c r="F233" s="113">
        <v>4</v>
      </c>
      <c r="G233" t="str">
        <f t="shared" si="2"/>
        <v>Field ReadyGrass Hay4</v>
      </c>
    </row>
    <row r="234" spans="4:7">
      <c r="D234" t="s">
        <v>252</v>
      </c>
      <c r="E234" t="s">
        <v>207</v>
      </c>
      <c r="F234" s="113">
        <v>5</v>
      </c>
      <c r="G234" t="str">
        <f t="shared" si="2"/>
        <v>Field ReadyStraw5</v>
      </c>
    </row>
    <row r="235" spans="4:7">
      <c r="D235" t="s">
        <v>252</v>
      </c>
      <c r="E235" t="s">
        <v>208</v>
      </c>
      <c r="F235" s="119">
        <v>5</v>
      </c>
      <c r="G235" s="124" t="str">
        <f t="shared" si="2"/>
        <v>Field ReadyCorn Stalks5</v>
      </c>
    </row>
    <row r="236" spans="4:7">
      <c r="D236" t="s">
        <v>163</v>
      </c>
      <c r="E236" t="s">
        <v>205</v>
      </c>
      <c r="F236" s="112">
        <v>3</v>
      </c>
      <c r="G236" t="str">
        <f t="shared" si="2"/>
        <v>IFSSilage3</v>
      </c>
    </row>
    <row r="237" spans="4:7">
      <c r="D237" t="s">
        <v>163</v>
      </c>
      <c r="E237" t="s">
        <v>206</v>
      </c>
      <c r="F237" s="113">
        <v>4</v>
      </c>
      <c r="G237" t="str">
        <f t="shared" si="2"/>
        <v>IFSAlfalfa4</v>
      </c>
    </row>
    <row r="238" spans="4:7">
      <c r="D238" t="s">
        <v>163</v>
      </c>
      <c r="E238" t="s">
        <v>14</v>
      </c>
      <c r="F238" s="112">
        <v>4</v>
      </c>
      <c r="G238" t="str">
        <f t="shared" si="2"/>
        <v>IFSGrass Hay4</v>
      </c>
    </row>
    <row r="239" spans="4:7">
      <c r="D239" t="s">
        <v>163</v>
      </c>
      <c r="E239" t="s">
        <v>207</v>
      </c>
      <c r="F239" s="113">
        <v>5</v>
      </c>
      <c r="G239" t="str">
        <f t="shared" si="2"/>
        <v>IFSStraw5</v>
      </c>
    </row>
    <row r="240" spans="4:7">
      <c r="D240" t="s">
        <v>163</v>
      </c>
      <c r="E240" t="s">
        <v>208</v>
      </c>
      <c r="F240" s="119">
        <v>5</v>
      </c>
      <c r="G240" t="str">
        <f t="shared" si="2"/>
        <v>IFSCorn Stalks5</v>
      </c>
    </row>
    <row r="241" spans="4:7">
      <c r="D241" t="s">
        <v>197</v>
      </c>
      <c r="E241" t="s">
        <v>205</v>
      </c>
      <c r="F241" s="112">
        <v>3</v>
      </c>
      <c r="G241" t="str">
        <f t="shared" si="2"/>
        <v>UltimateSilage3</v>
      </c>
    </row>
    <row r="242" spans="4:7">
      <c r="D242" t="s">
        <v>197</v>
      </c>
      <c r="E242" t="s">
        <v>206</v>
      </c>
      <c r="F242" s="113">
        <v>4</v>
      </c>
      <c r="G242" t="str">
        <f t="shared" si="2"/>
        <v>UltimateAlfalfa4</v>
      </c>
    </row>
    <row r="243" spans="4:7">
      <c r="D243" t="s">
        <v>197</v>
      </c>
      <c r="E243" t="s">
        <v>14</v>
      </c>
      <c r="F243" s="112">
        <v>4</v>
      </c>
      <c r="G243" t="str">
        <f t="shared" si="2"/>
        <v>UltimateGrass Hay4</v>
      </c>
    </row>
    <row r="244" spans="4:7">
      <c r="D244" t="s">
        <v>197</v>
      </c>
      <c r="E244" t="s">
        <v>207</v>
      </c>
      <c r="F244" s="113">
        <v>5</v>
      </c>
      <c r="G244" t="str">
        <f t="shared" si="2"/>
        <v>UltimateStraw5</v>
      </c>
    </row>
    <row r="245" spans="4:7">
      <c r="D245" t="s">
        <v>197</v>
      </c>
      <c r="E245" t="s">
        <v>208</v>
      </c>
      <c r="F245" s="114">
        <v>5</v>
      </c>
      <c r="G245" t="str">
        <f t="shared" si="2"/>
        <v>UltimateCorn Stalks5</v>
      </c>
    </row>
    <row r="246" spans="4:7">
      <c r="D246" t="s">
        <v>1</v>
      </c>
      <c r="E246" t="s">
        <v>205</v>
      </c>
      <c r="F246" s="112">
        <v>3</v>
      </c>
      <c r="G246" t="str">
        <f t="shared" si="2"/>
        <v>Cordex All BrandsSilage3</v>
      </c>
    </row>
    <row r="247" spans="4:7">
      <c r="D247" t="s">
        <v>1</v>
      </c>
      <c r="E247" t="s">
        <v>206</v>
      </c>
      <c r="F247" s="113">
        <v>3.25</v>
      </c>
      <c r="G247" t="str">
        <f t="shared" si="2"/>
        <v>Cordex All BrandsAlfalfa3.25</v>
      </c>
    </row>
    <row r="248" spans="4:7">
      <c r="D248" t="s">
        <v>1</v>
      </c>
      <c r="E248" t="s">
        <v>14</v>
      </c>
      <c r="F248" s="113">
        <v>3.25</v>
      </c>
      <c r="G248" t="str">
        <f t="shared" si="2"/>
        <v>Cordex All BrandsGrass Hay3.25</v>
      </c>
    </row>
    <row r="249" spans="4:7">
      <c r="D249" t="s">
        <v>1</v>
      </c>
      <c r="E249" t="s">
        <v>207</v>
      </c>
      <c r="F249" s="113">
        <v>4.25</v>
      </c>
      <c r="G249" t="str">
        <f t="shared" si="2"/>
        <v>Cordex All BrandsStraw4.25</v>
      </c>
    </row>
    <row r="250" spans="4:7">
      <c r="D250" t="s">
        <v>1</v>
      </c>
      <c r="E250" t="s">
        <v>208</v>
      </c>
      <c r="F250" s="114">
        <v>4.25</v>
      </c>
      <c r="G250" t="str">
        <f t="shared" si="2"/>
        <v>Cordex All BrandsCorn Stalks4.25</v>
      </c>
    </row>
    <row r="251" spans="4:7">
      <c r="D251" t="s">
        <v>147</v>
      </c>
      <c r="E251" t="s">
        <v>205</v>
      </c>
      <c r="F251" s="112">
        <v>2</v>
      </c>
      <c r="G251" t="str">
        <f t="shared" si="2"/>
        <v>Farm TuffSilage2</v>
      </c>
    </row>
    <row r="252" spans="4:7">
      <c r="D252" t="s">
        <v>147</v>
      </c>
      <c r="E252" t="s">
        <v>206</v>
      </c>
      <c r="F252" s="113">
        <v>2</v>
      </c>
      <c r="G252" t="str">
        <f t="shared" si="2"/>
        <v>Farm TuffAlfalfa2</v>
      </c>
    </row>
    <row r="253" spans="4:7">
      <c r="D253" t="s">
        <v>147</v>
      </c>
      <c r="E253" t="s">
        <v>14</v>
      </c>
      <c r="F253" s="113">
        <v>3</v>
      </c>
      <c r="G253" t="str">
        <f t="shared" si="2"/>
        <v>Farm TuffGrass Hay3</v>
      </c>
    </row>
    <row r="254" spans="4:7">
      <c r="D254" t="s">
        <v>147</v>
      </c>
      <c r="E254" t="s">
        <v>207</v>
      </c>
      <c r="F254" s="113">
        <v>3</v>
      </c>
      <c r="G254" t="str">
        <f t="shared" si="2"/>
        <v>Farm TuffStraw3</v>
      </c>
    </row>
    <row r="255" spans="4:7">
      <c r="D255" t="s">
        <v>147</v>
      </c>
      <c r="E255" t="s">
        <v>208</v>
      </c>
      <c r="F255" s="114">
        <v>4</v>
      </c>
      <c r="G255" t="str">
        <f t="shared" si="2"/>
        <v>Farm TuffCorn Stalks4</v>
      </c>
    </row>
    <row r="256" spans="4:7">
      <c r="D256" t="s">
        <v>189</v>
      </c>
      <c r="E256" t="s">
        <v>205</v>
      </c>
      <c r="F256" s="112">
        <v>3</v>
      </c>
      <c r="G256" t="str">
        <f t="shared" si="2"/>
        <v>Top NetSilage3</v>
      </c>
    </row>
    <row r="257" spans="4:7">
      <c r="D257" t="s">
        <v>189</v>
      </c>
      <c r="E257" t="s">
        <v>206</v>
      </c>
      <c r="F257" s="113">
        <v>3.5</v>
      </c>
      <c r="G257" t="str">
        <f t="shared" si="2"/>
        <v>Top NetAlfalfa3.5</v>
      </c>
    </row>
    <row r="258" spans="4:7">
      <c r="D258" t="s">
        <v>189</v>
      </c>
      <c r="E258" t="s">
        <v>14</v>
      </c>
      <c r="F258" s="112">
        <v>4</v>
      </c>
      <c r="G258" t="str">
        <f t="shared" si="2"/>
        <v>Top NetGrass Hay4</v>
      </c>
    </row>
    <row r="259" spans="4:7">
      <c r="D259" t="s">
        <v>189</v>
      </c>
      <c r="E259" t="s">
        <v>207</v>
      </c>
      <c r="F259" s="113">
        <v>4</v>
      </c>
      <c r="G259" t="str">
        <f t="shared" si="2"/>
        <v>Top NetStraw4</v>
      </c>
    </row>
    <row r="260" spans="4:7">
      <c r="D260" t="s">
        <v>189</v>
      </c>
      <c r="E260" t="s">
        <v>208</v>
      </c>
      <c r="F260" s="119">
        <v>5</v>
      </c>
      <c r="G260" t="str">
        <f t="shared" si="2"/>
        <v>Top NetCorn Stalks5</v>
      </c>
    </row>
    <row r="261" spans="4:7">
      <c r="D261" t="s">
        <v>155</v>
      </c>
      <c r="E261" t="s">
        <v>205</v>
      </c>
      <c r="F261" s="112">
        <v>2.5</v>
      </c>
      <c r="G261" t="str">
        <f t="shared" si="2"/>
        <v>Grand HarvestSilage2.5</v>
      </c>
    </row>
    <row r="262" spans="4:7">
      <c r="D262" t="s">
        <v>155</v>
      </c>
      <c r="E262" t="s">
        <v>206</v>
      </c>
      <c r="F262" s="113">
        <v>2.5</v>
      </c>
      <c r="G262" t="str">
        <f t="shared" si="2"/>
        <v>Grand HarvestAlfalfa2.5</v>
      </c>
    </row>
    <row r="263" spans="4:7">
      <c r="D263" t="s">
        <v>155</v>
      </c>
      <c r="E263" t="s">
        <v>14</v>
      </c>
      <c r="F263" s="112">
        <v>3.5</v>
      </c>
      <c r="G263" t="str">
        <f t="shared" si="2"/>
        <v>Grand HarvestGrass Hay3.5</v>
      </c>
    </row>
    <row r="264" spans="4:7">
      <c r="D264" t="s">
        <v>155</v>
      </c>
      <c r="E264" t="s">
        <v>207</v>
      </c>
      <c r="F264" s="113">
        <v>3.5</v>
      </c>
      <c r="G264" t="str">
        <f t="shared" si="2"/>
        <v>Grand HarvestStraw3.5</v>
      </c>
    </row>
    <row r="265" spans="4:7">
      <c r="D265" t="s">
        <v>155</v>
      </c>
      <c r="E265" t="s">
        <v>208</v>
      </c>
      <c r="F265" s="114">
        <v>4</v>
      </c>
      <c r="G265" t="str">
        <f t="shared" si="2"/>
        <v>Grand HarvestCorn Stalks4</v>
      </c>
    </row>
    <row r="266" spans="4:7">
      <c r="D266" t="s">
        <v>161</v>
      </c>
      <c r="E266" t="s">
        <v>205</v>
      </c>
      <c r="F266" s="112">
        <v>3</v>
      </c>
      <c r="G266" t="str">
        <f t="shared" si="2"/>
        <v>Hybrid Bale NetwrapSilage3</v>
      </c>
    </row>
    <row r="267" spans="4:7">
      <c r="D267" t="s">
        <v>161</v>
      </c>
      <c r="E267" t="s">
        <v>206</v>
      </c>
      <c r="F267" s="113">
        <v>4</v>
      </c>
      <c r="G267" t="str">
        <f t="shared" si="2"/>
        <v>Hybrid Bale NetwrapAlfalfa4</v>
      </c>
    </row>
    <row r="268" spans="4:7">
      <c r="D268" t="s">
        <v>161</v>
      </c>
      <c r="E268" t="s">
        <v>14</v>
      </c>
      <c r="F268" s="112">
        <v>5</v>
      </c>
      <c r="G268" t="str">
        <f t="shared" ref="G268:G325" si="3">D268&amp;E268&amp;F268</f>
        <v>Hybrid Bale NetwrapGrass Hay5</v>
      </c>
    </row>
    <row r="269" spans="4:7">
      <c r="D269" t="s">
        <v>161</v>
      </c>
      <c r="E269" t="s">
        <v>207</v>
      </c>
      <c r="F269" s="113">
        <v>5</v>
      </c>
      <c r="G269" t="str">
        <f t="shared" si="3"/>
        <v>Hybrid Bale NetwrapStraw5</v>
      </c>
    </row>
    <row r="270" spans="4:7">
      <c r="D270" t="s">
        <v>161</v>
      </c>
      <c r="E270" t="s">
        <v>208</v>
      </c>
      <c r="F270" s="119">
        <v>5</v>
      </c>
      <c r="G270" t="str">
        <f t="shared" si="3"/>
        <v>Hybrid Bale NetwrapCorn Stalks5</v>
      </c>
    </row>
    <row r="271" spans="4:7">
      <c r="D271" t="s">
        <v>199</v>
      </c>
      <c r="E271" t="s">
        <v>205</v>
      </c>
      <c r="F271" s="112">
        <v>2</v>
      </c>
      <c r="G271" t="str">
        <f t="shared" si="3"/>
        <v>XPSilage2</v>
      </c>
    </row>
    <row r="272" spans="4:7">
      <c r="D272" t="s">
        <v>199</v>
      </c>
      <c r="E272" t="s">
        <v>206</v>
      </c>
      <c r="F272" s="113">
        <v>3.5</v>
      </c>
      <c r="G272" t="str">
        <f t="shared" si="3"/>
        <v>XPAlfalfa3.5</v>
      </c>
    </row>
    <row r="273" spans="4:7">
      <c r="D273" t="s">
        <v>199</v>
      </c>
      <c r="E273" t="s">
        <v>14</v>
      </c>
      <c r="F273" s="112">
        <v>4</v>
      </c>
      <c r="G273" t="str">
        <f t="shared" si="3"/>
        <v>XPGrass Hay4</v>
      </c>
    </row>
    <row r="274" spans="4:7">
      <c r="D274" t="s">
        <v>199</v>
      </c>
      <c r="E274" t="s">
        <v>207</v>
      </c>
      <c r="F274" s="113">
        <v>4</v>
      </c>
      <c r="G274" t="str">
        <f t="shared" si="3"/>
        <v>XPStraw4</v>
      </c>
    </row>
    <row r="275" spans="4:7">
      <c r="D275" t="s">
        <v>199</v>
      </c>
      <c r="E275" t="s">
        <v>208</v>
      </c>
      <c r="F275" s="119">
        <v>5</v>
      </c>
      <c r="G275" t="str">
        <f t="shared" si="3"/>
        <v>XPCorn Stalks5</v>
      </c>
    </row>
    <row r="276" spans="4:7">
      <c r="D276" t="s">
        <v>176</v>
      </c>
      <c r="E276" t="s">
        <v>205</v>
      </c>
      <c r="F276" s="112">
        <v>2.5</v>
      </c>
      <c r="G276" t="str">
        <f t="shared" si="3"/>
        <v>PXLSilage2.5</v>
      </c>
    </row>
    <row r="277" spans="4:7">
      <c r="D277" t="s">
        <v>176</v>
      </c>
      <c r="E277" t="s">
        <v>206</v>
      </c>
      <c r="F277" s="113">
        <v>3</v>
      </c>
      <c r="G277" t="str">
        <f t="shared" si="3"/>
        <v>PXLAlfalfa3</v>
      </c>
    </row>
    <row r="278" spans="4:7">
      <c r="D278" t="s">
        <v>176</v>
      </c>
      <c r="E278" t="s">
        <v>14</v>
      </c>
      <c r="F278" s="112">
        <v>4</v>
      </c>
      <c r="G278" t="str">
        <f t="shared" si="3"/>
        <v>PXLGrass Hay4</v>
      </c>
    </row>
    <row r="279" spans="4:7">
      <c r="D279" t="s">
        <v>176</v>
      </c>
      <c r="E279" t="s">
        <v>207</v>
      </c>
      <c r="F279" s="113">
        <v>4</v>
      </c>
      <c r="G279" t="str">
        <f t="shared" si="3"/>
        <v>PXLStraw4</v>
      </c>
    </row>
    <row r="280" spans="4:7">
      <c r="D280" t="s">
        <v>176</v>
      </c>
      <c r="E280" t="s">
        <v>208</v>
      </c>
      <c r="F280" s="119">
        <v>4.5</v>
      </c>
      <c r="G280" t="str">
        <f t="shared" si="3"/>
        <v>PXLCorn Stalks4.5</v>
      </c>
    </row>
    <row r="281" spans="4:7">
      <c r="D281" t="s">
        <v>178</v>
      </c>
      <c r="E281" t="s">
        <v>205</v>
      </c>
      <c r="F281" s="112">
        <v>2.5</v>
      </c>
      <c r="G281" t="str">
        <f t="shared" si="3"/>
        <v>RondotexSilage2.5</v>
      </c>
    </row>
    <row r="282" spans="4:7">
      <c r="D282" t="s">
        <v>178</v>
      </c>
      <c r="E282" t="s">
        <v>206</v>
      </c>
      <c r="F282" s="113">
        <v>3</v>
      </c>
      <c r="G282" t="str">
        <f t="shared" si="3"/>
        <v>RondotexAlfalfa3</v>
      </c>
    </row>
    <row r="283" spans="4:7">
      <c r="D283" t="s">
        <v>178</v>
      </c>
      <c r="E283" t="s">
        <v>14</v>
      </c>
      <c r="F283" s="112">
        <v>3.5</v>
      </c>
      <c r="G283" t="str">
        <f t="shared" si="3"/>
        <v>RondotexGrass Hay3.5</v>
      </c>
    </row>
    <row r="284" spans="4:7">
      <c r="D284" t="s">
        <v>178</v>
      </c>
      <c r="E284" t="s">
        <v>207</v>
      </c>
      <c r="F284" s="113">
        <v>3.5</v>
      </c>
      <c r="G284" t="str">
        <f t="shared" si="3"/>
        <v>RondotexStraw3.5</v>
      </c>
    </row>
    <row r="285" spans="4:7">
      <c r="D285" t="s">
        <v>178</v>
      </c>
      <c r="E285" t="s">
        <v>208</v>
      </c>
      <c r="F285" s="119">
        <v>4.5</v>
      </c>
      <c r="G285" t="str">
        <f t="shared" si="3"/>
        <v>RondotexCorn Stalks4.5</v>
      </c>
    </row>
    <row r="286" spans="4:7">
      <c r="D286" t="s">
        <v>131</v>
      </c>
      <c r="E286" t="s">
        <v>205</v>
      </c>
      <c r="F286" s="113">
        <v>2</v>
      </c>
      <c r="G286" t="str">
        <f t="shared" si="3"/>
        <v>Ag-RiteSilage2</v>
      </c>
    </row>
    <row r="287" spans="4:7">
      <c r="D287" t="s">
        <v>131</v>
      </c>
      <c r="E287" t="s">
        <v>206</v>
      </c>
      <c r="F287" s="113">
        <v>3</v>
      </c>
      <c r="G287" t="str">
        <f t="shared" si="3"/>
        <v>Ag-RiteAlfalfa3</v>
      </c>
    </row>
    <row r="288" spans="4:7">
      <c r="D288" t="s">
        <v>131</v>
      </c>
      <c r="E288" t="s">
        <v>14</v>
      </c>
      <c r="F288" s="113">
        <v>3</v>
      </c>
      <c r="G288" t="str">
        <f t="shared" si="3"/>
        <v>Ag-RiteGrass Hay3</v>
      </c>
    </row>
    <row r="289" spans="4:7">
      <c r="D289" t="s">
        <v>131</v>
      </c>
      <c r="E289" t="s">
        <v>207</v>
      </c>
      <c r="F289" s="113">
        <v>4</v>
      </c>
      <c r="G289" t="str">
        <f t="shared" si="3"/>
        <v>Ag-RiteStraw4</v>
      </c>
    </row>
    <row r="290" spans="4:7">
      <c r="D290" t="s">
        <v>131</v>
      </c>
      <c r="E290" t="s">
        <v>208</v>
      </c>
      <c r="F290" s="119">
        <v>5</v>
      </c>
      <c r="G290" t="str">
        <f t="shared" si="3"/>
        <v>Ag-RiteCorn Stalks5</v>
      </c>
    </row>
    <row r="291" spans="4:7">
      <c r="D291" t="s">
        <v>130</v>
      </c>
      <c r="E291" t="s">
        <v>205</v>
      </c>
      <c r="F291" s="113">
        <v>2</v>
      </c>
      <c r="G291" t="str">
        <f t="shared" si="3"/>
        <v>AgrimeshSilage2</v>
      </c>
    </row>
    <row r="292" spans="4:7">
      <c r="D292" t="s">
        <v>130</v>
      </c>
      <c r="E292" t="s">
        <v>206</v>
      </c>
      <c r="F292" s="113">
        <v>3</v>
      </c>
      <c r="G292" t="str">
        <f t="shared" si="3"/>
        <v>AgrimeshAlfalfa3</v>
      </c>
    </row>
    <row r="293" spans="4:7">
      <c r="D293" t="s">
        <v>130</v>
      </c>
      <c r="E293" t="s">
        <v>14</v>
      </c>
      <c r="F293" s="113">
        <v>3</v>
      </c>
      <c r="G293" t="str">
        <f t="shared" si="3"/>
        <v>AgrimeshGrass Hay3</v>
      </c>
    </row>
    <row r="294" spans="4:7">
      <c r="D294" t="s">
        <v>130</v>
      </c>
      <c r="E294" t="s">
        <v>207</v>
      </c>
      <c r="F294" s="113">
        <v>4</v>
      </c>
      <c r="G294" t="str">
        <f t="shared" si="3"/>
        <v>AgrimeshStraw4</v>
      </c>
    </row>
    <row r="295" spans="4:7">
      <c r="D295" t="s">
        <v>130</v>
      </c>
      <c r="E295" t="s">
        <v>208</v>
      </c>
      <c r="F295" s="119">
        <v>5</v>
      </c>
      <c r="G295" t="str">
        <f t="shared" si="3"/>
        <v>AgrimeshCorn Stalks5</v>
      </c>
    </row>
    <row r="296" spans="4:7">
      <c r="D296" t="s">
        <v>149</v>
      </c>
      <c r="E296" t="s">
        <v>205</v>
      </c>
      <c r="F296" s="112">
        <v>2</v>
      </c>
      <c r="G296" t="str">
        <f t="shared" si="3"/>
        <v>Farmers Across CoverageSilage2</v>
      </c>
    </row>
    <row r="297" spans="4:7">
      <c r="D297" t="s">
        <v>149</v>
      </c>
      <c r="E297" t="s">
        <v>206</v>
      </c>
      <c r="F297" s="112">
        <v>3</v>
      </c>
      <c r="G297" t="str">
        <f t="shared" si="3"/>
        <v>Farmers Across CoverageAlfalfa3</v>
      </c>
    </row>
    <row r="298" spans="4:7">
      <c r="D298" t="s">
        <v>149</v>
      </c>
      <c r="E298" t="s">
        <v>14</v>
      </c>
      <c r="F298" s="112">
        <v>3</v>
      </c>
      <c r="G298" t="str">
        <f t="shared" si="3"/>
        <v>Farmers Across CoverageGrass Hay3</v>
      </c>
    </row>
    <row r="299" spans="4:7">
      <c r="D299" t="s">
        <v>149</v>
      </c>
      <c r="E299" t="s">
        <v>207</v>
      </c>
      <c r="F299" s="112">
        <v>4</v>
      </c>
      <c r="G299" t="str">
        <f t="shared" si="3"/>
        <v>Farmers Across CoverageStraw4</v>
      </c>
    </row>
    <row r="300" spans="4:7">
      <c r="D300" t="s">
        <v>149</v>
      </c>
      <c r="E300" t="s">
        <v>208</v>
      </c>
      <c r="F300" s="114">
        <v>4</v>
      </c>
      <c r="G300" t="str">
        <f t="shared" si="3"/>
        <v>Farmers Across CoverageCorn Stalks4</v>
      </c>
    </row>
    <row r="301" spans="4:7">
      <c r="D301" t="s">
        <v>189</v>
      </c>
      <c r="E301" t="s">
        <v>205</v>
      </c>
      <c r="F301" s="120">
        <v>2</v>
      </c>
      <c r="G301" t="str">
        <f t="shared" si="3"/>
        <v>Top NetSilage2</v>
      </c>
    </row>
    <row r="302" spans="4:7">
      <c r="D302" t="s">
        <v>189</v>
      </c>
      <c r="E302" t="s">
        <v>206</v>
      </c>
      <c r="F302" s="113">
        <v>3</v>
      </c>
      <c r="G302" t="str">
        <f t="shared" si="3"/>
        <v>Top NetAlfalfa3</v>
      </c>
    </row>
    <row r="303" spans="4:7">
      <c r="D303" t="s">
        <v>189</v>
      </c>
      <c r="E303" t="s">
        <v>14</v>
      </c>
      <c r="F303" s="121">
        <v>3</v>
      </c>
      <c r="G303" t="str">
        <f t="shared" si="3"/>
        <v>Top NetGrass Hay3</v>
      </c>
    </row>
    <row r="304" spans="4:7">
      <c r="D304" t="s">
        <v>189</v>
      </c>
      <c r="E304" t="s">
        <v>207</v>
      </c>
      <c r="F304" s="121">
        <v>4</v>
      </c>
      <c r="G304" t="str">
        <f t="shared" si="3"/>
        <v>Top NetStraw4</v>
      </c>
    </row>
    <row r="305" spans="4:7">
      <c r="D305" t="s">
        <v>189</v>
      </c>
      <c r="E305" t="s">
        <v>208</v>
      </c>
      <c r="F305" s="122">
        <v>4.5</v>
      </c>
      <c r="G305" t="str">
        <f t="shared" si="3"/>
        <v>Top NetCorn Stalks4.5</v>
      </c>
    </row>
    <row r="306" spans="4:7">
      <c r="D306" t="s">
        <v>191</v>
      </c>
      <c r="E306" t="s">
        <v>205</v>
      </c>
      <c r="F306" s="113">
        <v>3</v>
      </c>
      <c r="G306" t="str">
        <f t="shared" si="3"/>
        <v>Top Net PerformanceSilage3</v>
      </c>
    </row>
    <row r="307" spans="4:7">
      <c r="D307" t="s">
        <v>191</v>
      </c>
      <c r="E307" t="s">
        <v>206</v>
      </c>
      <c r="F307" s="113">
        <v>3.5</v>
      </c>
      <c r="G307" t="str">
        <f t="shared" si="3"/>
        <v>Top Net PerformanceAlfalfa3.5</v>
      </c>
    </row>
    <row r="308" spans="4:7">
      <c r="D308" t="s">
        <v>191</v>
      </c>
      <c r="E308" t="s">
        <v>14</v>
      </c>
      <c r="F308" s="112">
        <v>3.5</v>
      </c>
      <c r="G308" t="str">
        <f t="shared" si="3"/>
        <v>Top Net PerformanceGrass Hay3.5</v>
      </c>
    </row>
    <row r="309" spans="4:7">
      <c r="D309" t="s">
        <v>191</v>
      </c>
      <c r="E309" t="s">
        <v>207</v>
      </c>
      <c r="F309" s="113">
        <v>4</v>
      </c>
      <c r="G309" t="str">
        <f t="shared" si="3"/>
        <v>Top Net PerformanceStraw4</v>
      </c>
    </row>
    <row r="310" spans="4:7">
      <c r="D310" t="s">
        <v>191</v>
      </c>
      <c r="E310" t="s">
        <v>208</v>
      </c>
      <c r="F310" s="119">
        <v>4.5</v>
      </c>
      <c r="G310" t="str">
        <f t="shared" si="3"/>
        <v>Top Net PerformanceCorn Stalks4.5</v>
      </c>
    </row>
    <row r="311" spans="4:7">
      <c r="D311" t="s">
        <v>195</v>
      </c>
      <c r="E311" t="s">
        <v>205</v>
      </c>
      <c r="F311" s="112">
        <v>2</v>
      </c>
      <c r="G311" t="str">
        <f t="shared" si="3"/>
        <v>UFA NetSilage2</v>
      </c>
    </row>
    <row r="312" spans="4:7">
      <c r="D312" t="s">
        <v>195</v>
      </c>
      <c r="E312" t="s">
        <v>206</v>
      </c>
      <c r="F312" s="113">
        <v>2.5</v>
      </c>
      <c r="G312" t="str">
        <f t="shared" si="3"/>
        <v>UFA NetAlfalfa2.5</v>
      </c>
    </row>
    <row r="313" spans="4:7">
      <c r="D313" t="s">
        <v>195</v>
      </c>
      <c r="E313" t="s">
        <v>14</v>
      </c>
      <c r="F313" s="113">
        <v>2.5</v>
      </c>
      <c r="G313" t="str">
        <f t="shared" si="3"/>
        <v>UFA NetGrass Hay2.5</v>
      </c>
    </row>
    <row r="314" spans="4:7">
      <c r="D314" t="s">
        <v>195</v>
      </c>
      <c r="E314" t="s">
        <v>207</v>
      </c>
      <c r="F314" s="113">
        <v>3.5</v>
      </c>
      <c r="G314" t="str">
        <f t="shared" si="3"/>
        <v>UFA NetStraw3.5</v>
      </c>
    </row>
    <row r="315" spans="4:7">
      <c r="D315" t="s">
        <v>195</v>
      </c>
      <c r="E315" t="s">
        <v>208</v>
      </c>
      <c r="F315" s="114">
        <v>4</v>
      </c>
      <c r="G315" t="str">
        <f t="shared" si="3"/>
        <v>UFA NetCorn Stalks4</v>
      </c>
    </row>
    <row r="316" spans="4:7">
      <c r="D316" t="s">
        <v>137</v>
      </c>
      <c r="E316" t="s">
        <v>205</v>
      </c>
      <c r="F316" s="113">
        <v>2.5</v>
      </c>
      <c r="G316" t="str">
        <f t="shared" si="3"/>
        <v>Blue Lakes PlasticsSilage2.5</v>
      </c>
    </row>
    <row r="317" spans="4:7">
      <c r="D317" t="s">
        <v>137</v>
      </c>
      <c r="E317" t="s">
        <v>206</v>
      </c>
      <c r="F317" s="113">
        <v>2.5</v>
      </c>
      <c r="G317" t="str">
        <f t="shared" si="3"/>
        <v>Blue Lakes PlasticsAlfalfa2.5</v>
      </c>
    </row>
    <row r="318" spans="4:7">
      <c r="D318" t="s">
        <v>137</v>
      </c>
      <c r="E318" t="s">
        <v>14</v>
      </c>
      <c r="F318" s="113">
        <v>2.5</v>
      </c>
      <c r="G318" t="str">
        <f t="shared" si="3"/>
        <v>Blue Lakes PlasticsGrass Hay2.5</v>
      </c>
    </row>
    <row r="319" spans="4:7">
      <c r="D319" t="s">
        <v>137</v>
      </c>
      <c r="E319" t="s">
        <v>207</v>
      </c>
      <c r="F319" s="113">
        <v>3.5</v>
      </c>
      <c r="G319" t="str">
        <f t="shared" si="3"/>
        <v>Blue Lakes PlasticsStraw3.5</v>
      </c>
    </row>
    <row r="320" spans="4:7">
      <c r="D320" t="s">
        <v>137</v>
      </c>
      <c r="E320" t="s">
        <v>208</v>
      </c>
      <c r="F320" s="119">
        <v>4.5</v>
      </c>
      <c r="G320" t="str">
        <f t="shared" si="3"/>
        <v>Blue Lakes PlasticsCorn Stalks4.5</v>
      </c>
    </row>
    <row r="321" spans="4:7">
      <c r="D321" t="s">
        <v>171</v>
      </c>
      <c r="E321" t="s">
        <v>205</v>
      </c>
      <c r="F321" s="74">
        <v>3</v>
      </c>
      <c r="G321" t="str">
        <f t="shared" si="3"/>
        <v>OtherSilage3</v>
      </c>
    </row>
    <row r="322" spans="4:7">
      <c r="D322" t="s">
        <v>171</v>
      </c>
      <c r="E322" t="s">
        <v>206</v>
      </c>
      <c r="F322" s="74">
        <v>3</v>
      </c>
      <c r="G322" t="str">
        <f t="shared" si="3"/>
        <v>OtherAlfalfa3</v>
      </c>
    </row>
    <row r="323" spans="4:7">
      <c r="D323" t="s">
        <v>171</v>
      </c>
      <c r="E323" t="s">
        <v>14</v>
      </c>
      <c r="F323" s="74">
        <v>4</v>
      </c>
      <c r="G323" t="str">
        <f t="shared" si="3"/>
        <v>OtherGrass Hay4</v>
      </c>
    </row>
    <row r="324" spans="4:7">
      <c r="D324" t="s">
        <v>171</v>
      </c>
      <c r="E324" t="s">
        <v>207</v>
      </c>
      <c r="F324" s="74">
        <v>4</v>
      </c>
      <c r="G324" t="str">
        <f t="shared" si="3"/>
        <v>OtherStraw4</v>
      </c>
    </row>
    <row r="325" spans="4:7">
      <c r="D325" t="s">
        <v>171</v>
      </c>
      <c r="E325" t="s">
        <v>208</v>
      </c>
      <c r="F325" s="74">
        <v>5</v>
      </c>
      <c r="G325" t="str">
        <f t="shared" si="3"/>
        <v>OtherCorn Stalks5</v>
      </c>
    </row>
    <row r="326" spans="4:7">
      <c r="E326" t="s">
        <v>205</v>
      </c>
    </row>
    <row r="327" spans="4:7">
      <c r="E327" t="s">
        <v>206</v>
      </c>
    </row>
    <row r="328" spans="4:7">
      <c r="E328" t="s">
        <v>14</v>
      </c>
    </row>
    <row r="329" spans="4:7">
      <c r="E329" t="s">
        <v>207</v>
      </c>
    </row>
    <row r="330" spans="4:7">
      <c r="E330" t="s">
        <v>208</v>
      </c>
    </row>
  </sheetData>
  <sheetProtection algorithmName="SHA-512" hashValue="FNF9F+EmxnuixqSul8sbxCYYripmuPWNDLbdeMo9nMAKxv7nXvh53VQlH2GKJmVdJy8AWJ0mbiw/KqUNlfcs/g==" saltValue="IrlnoRWJN0kzuBWRyW3n3A==" spinCount="100000" sheet="1" objects="1" scenarios="1" selectLockedCells="1" selectUnlockedCells="1"/>
  <sortState xmlns:xlrd2="http://schemas.microsoft.com/office/spreadsheetml/2017/richdata2" ref="N4:N42">
    <sortCondition ref="N4:N42"/>
  </sortState>
  <mergeCells count="2">
    <mergeCell ref="G47:H47"/>
    <mergeCell ref="A21:C21"/>
  </mergeCells>
  <conditionalFormatting sqref="H25 I30:K30">
    <cfRule type="duplicateValues" dxfId="8" priority="1"/>
  </conditionalFormatting>
  <conditionalFormatting sqref="I37:K37">
    <cfRule type="duplicateValues" dxfId="7" priority="12"/>
  </conditionalFormatting>
  <conditionalFormatting sqref="L43 H31 I39:K39">
    <cfRule type="duplicateValues" dxfId="6" priority="5"/>
  </conditionalFormatting>
  <conditionalFormatting sqref="L44 I40:K40">
    <cfRule type="duplicateValues" dxfId="5" priority="17"/>
  </conditionalFormatting>
  <conditionalFormatting sqref="L53:L54 J49:K50">
    <cfRule type="duplicateValues" dxfId="4" priority="20"/>
  </conditionalFormatting>
  <conditionalFormatting sqref="L55 J51:K51">
    <cfRule type="duplicateValues" dxfId="3" priority="23"/>
  </conditionalFormatting>
  <conditionalFormatting sqref="M43:M47 L56:L62 J52:K58 H37:H39 I4:K15 I41:K46 L45:L50 I38:K38 M49:M52 J60:K63 L64:L67 I31:K36 I17:K25 I27:K29 H32:H34 H4:H24 H41:H44 H26:H30">
    <cfRule type="duplicateValues" dxfId="2" priority="33"/>
  </conditionalFormatting>
  <conditionalFormatting sqref="M48 L63 J59:K59 H40">
    <cfRule type="duplicateValues" dxfId="1" priority="4"/>
  </conditionalFormatting>
  <conditionalFormatting sqref="M53 L68 J64:K64">
    <cfRule type="duplicateValues" dxfId="0" priority="30"/>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741F7-C0C4-4ACF-B240-7D086A4BC177}">
  <dimension ref="A1:GN148"/>
  <sheetViews>
    <sheetView zoomScale="110" zoomScaleNormal="110" workbookViewId="0">
      <selection activeCell="G13" sqref="G13"/>
    </sheetView>
  </sheetViews>
  <sheetFormatPr defaultColWidth="8.77734375" defaultRowHeight="13.5"/>
  <cols>
    <col min="1" max="1" width="2.44140625" style="127" customWidth="1"/>
    <col min="2" max="2" width="2.21875" style="125" customWidth="1"/>
    <col min="3" max="3" width="23.77734375" style="126" customWidth="1"/>
    <col min="4" max="4" width="18.44140625" style="126" customWidth="1"/>
    <col min="5" max="5" width="1.77734375" style="126" customWidth="1"/>
    <col min="6" max="6" width="23.77734375" style="126" customWidth="1"/>
    <col min="7" max="7" width="19.5546875" style="126" customWidth="1"/>
    <col min="8" max="8" width="2.21875" style="125" customWidth="1"/>
    <col min="9" max="16384" width="8.77734375" style="125"/>
  </cols>
  <sheetData>
    <row r="1" spans="1:196" s="127" customFormat="1">
      <c r="C1" s="128"/>
      <c r="D1" s="128"/>
      <c r="E1" s="128"/>
      <c r="F1" s="128"/>
      <c r="G1" s="128"/>
    </row>
    <row r="2" spans="1:196" s="127" customFormat="1">
      <c r="C2" s="128"/>
      <c r="D2" s="128"/>
      <c r="E2" s="128"/>
      <c r="F2" s="128"/>
      <c r="G2" s="128"/>
    </row>
    <row r="3" spans="1:196" s="127" customFormat="1">
      <c r="C3" s="128"/>
      <c r="D3" s="128"/>
      <c r="E3" s="128"/>
      <c r="F3" s="128"/>
      <c r="G3" s="128"/>
    </row>
    <row r="4" spans="1:196" s="127" customFormat="1">
      <c r="C4" s="128"/>
      <c r="D4" s="128"/>
      <c r="E4" s="128"/>
      <c r="F4" s="128"/>
      <c r="G4" s="128"/>
    </row>
    <row r="5" spans="1:196" s="127" customFormat="1">
      <c r="C5" s="128"/>
      <c r="D5" s="128"/>
      <c r="E5" s="128"/>
      <c r="F5" s="128"/>
      <c r="G5" s="128"/>
    </row>
    <row r="6" spans="1:196" s="127" customFormat="1">
      <c r="C6" s="128"/>
      <c r="D6" s="128"/>
      <c r="E6" s="128"/>
      <c r="F6" s="128"/>
      <c r="G6" s="128"/>
    </row>
    <row r="7" spans="1:196" s="127" customFormat="1" ht="13.9" thickBot="1">
      <c r="C7" s="128"/>
      <c r="D7" s="128"/>
      <c r="E7" s="128"/>
      <c r="F7" s="128"/>
      <c r="G7" s="128"/>
    </row>
    <row r="8" spans="1:196" ht="18" thickTop="1">
      <c r="B8" s="198"/>
      <c r="C8" s="403"/>
      <c r="D8" s="403"/>
      <c r="E8" s="403"/>
      <c r="F8" s="403"/>
      <c r="G8" s="403"/>
      <c r="H8" s="404"/>
      <c r="I8" s="127"/>
      <c r="J8" s="127"/>
      <c r="K8" s="127"/>
      <c r="L8" s="127"/>
      <c r="M8" s="127"/>
      <c r="N8" s="127"/>
      <c r="O8" s="127"/>
      <c r="P8" s="127"/>
      <c r="Q8" s="127"/>
      <c r="R8" s="127"/>
      <c r="S8" s="127"/>
      <c r="T8" s="127"/>
      <c r="U8" s="127"/>
      <c r="V8" s="127"/>
      <c r="W8" s="127"/>
      <c r="X8" s="127"/>
      <c r="Y8" s="127"/>
    </row>
    <row r="9" spans="1:196" s="192" customFormat="1" ht="13.9">
      <c r="A9" s="127"/>
      <c r="B9" s="153"/>
      <c r="C9" s="197" t="s">
        <v>32</v>
      </c>
      <c r="D9" s="196" t="s">
        <v>33</v>
      </c>
      <c r="E9" s="195"/>
      <c r="F9" s="194" t="s">
        <v>32</v>
      </c>
      <c r="G9" s="193" t="s">
        <v>34</v>
      </c>
      <c r="H9" s="405"/>
      <c r="I9" s="127"/>
      <c r="J9" s="127"/>
      <c r="K9" s="127"/>
      <c r="L9" s="127"/>
      <c r="M9" s="127"/>
      <c r="N9" s="127"/>
      <c r="O9" s="127"/>
      <c r="P9" s="127"/>
      <c r="Q9" s="127"/>
      <c r="R9" s="127"/>
      <c r="S9" s="127"/>
      <c r="T9" s="127"/>
      <c r="U9" s="127"/>
      <c r="V9" s="127"/>
      <c r="W9" s="127"/>
      <c r="X9" s="127"/>
      <c r="Y9" s="127"/>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125"/>
      <c r="DE9" s="125"/>
      <c r="DF9" s="125"/>
      <c r="DG9" s="125"/>
      <c r="DH9" s="125"/>
      <c r="DI9" s="125"/>
      <c r="DJ9" s="125"/>
      <c r="DK9" s="125"/>
      <c r="DL9" s="125"/>
      <c r="DM9" s="125"/>
      <c r="DN9" s="125"/>
      <c r="DO9" s="125"/>
      <c r="DP9" s="125"/>
      <c r="DQ9" s="125"/>
    </row>
    <row r="10" spans="1:196" ht="13.9" thickBot="1">
      <c r="B10" s="153"/>
      <c r="C10" s="133"/>
      <c r="D10" s="132"/>
      <c r="E10" s="152"/>
      <c r="F10" s="133"/>
      <c r="G10" s="132"/>
      <c r="H10" s="151"/>
      <c r="I10" s="127"/>
      <c r="J10" s="127"/>
      <c r="K10" s="127"/>
      <c r="L10" s="127"/>
      <c r="M10" s="127"/>
      <c r="N10" s="127"/>
      <c r="O10" s="127"/>
      <c r="P10" s="127"/>
      <c r="Q10" s="127"/>
      <c r="R10" s="127"/>
      <c r="S10" s="127"/>
      <c r="T10" s="127"/>
      <c r="U10" s="127"/>
      <c r="V10" s="127"/>
      <c r="W10" s="127"/>
      <c r="X10" s="127"/>
      <c r="Y10" s="127"/>
    </row>
    <row r="11" spans="1:196" s="190" customFormat="1" ht="13.9" thickBot="1">
      <c r="A11" s="127"/>
      <c r="B11" s="153"/>
      <c r="C11" s="150" t="s">
        <v>35</v>
      </c>
      <c r="D11" s="149">
        <v>4000</v>
      </c>
      <c r="E11" s="152"/>
      <c r="F11" s="150" t="s">
        <v>35</v>
      </c>
      <c r="G11" s="149">
        <v>4730</v>
      </c>
      <c r="H11" s="151"/>
      <c r="I11" s="127"/>
      <c r="J11" s="127"/>
      <c r="K11" s="127"/>
      <c r="L11" s="127"/>
      <c r="M11" s="127"/>
      <c r="N11" s="127"/>
      <c r="O11" s="127"/>
      <c r="P11" s="127"/>
      <c r="Q11" s="127"/>
      <c r="R11" s="127"/>
      <c r="S11" s="127"/>
      <c r="T11" s="127"/>
      <c r="U11" s="127"/>
      <c r="V11" s="127"/>
      <c r="W11" s="127"/>
      <c r="X11" s="127"/>
      <c r="Y11" s="127"/>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c r="BM11" s="125"/>
      <c r="BN11" s="125"/>
      <c r="BO11" s="125"/>
      <c r="BP11" s="125"/>
      <c r="BQ11" s="125"/>
      <c r="BR11" s="125"/>
      <c r="BS11" s="125"/>
      <c r="BT11" s="125"/>
      <c r="BU11" s="125"/>
      <c r="BV11" s="125"/>
      <c r="BW11" s="125"/>
      <c r="BX11" s="125"/>
      <c r="BY11" s="125"/>
      <c r="BZ11" s="125"/>
      <c r="CA11" s="125"/>
      <c r="CB11" s="125"/>
      <c r="CC11" s="125"/>
      <c r="CD11" s="125"/>
      <c r="CE11" s="125"/>
      <c r="CF11" s="125"/>
      <c r="CG11" s="125"/>
      <c r="CH11" s="125"/>
      <c r="CI11" s="125"/>
      <c r="CJ11" s="125"/>
      <c r="CK11" s="125"/>
      <c r="CL11" s="125"/>
      <c r="CM11" s="125"/>
      <c r="CN11" s="125"/>
      <c r="CO11" s="125"/>
      <c r="CP11" s="125"/>
      <c r="CQ11" s="125"/>
      <c r="CR11" s="125"/>
      <c r="CS11" s="125"/>
      <c r="CT11" s="125"/>
      <c r="CU11" s="125"/>
      <c r="CV11" s="125"/>
      <c r="CW11" s="125"/>
      <c r="CX11" s="125"/>
      <c r="CY11" s="125"/>
      <c r="CZ11" s="125"/>
      <c r="DA11" s="125"/>
      <c r="DB11" s="125"/>
      <c r="DC11" s="125"/>
      <c r="DD11" s="125"/>
      <c r="DE11" s="125"/>
      <c r="DF11" s="125"/>
      <c r="DG11" s="125"/>
      <c r="DH11" s="125"/>
      <c r="DI11" s="125"/>
      <c r="DJ11" s="125"/>
      <c r="DK11" s="125"/>
      <c r="DL11" s="125"/>
      <c r="DM11" s="125"/>
      <c r="DN11" s="125"/>
      <c r="DO11" s="125"/>
      <c r="DP11" s="125"/>
      <c r="DQ11" s="125"/>
      <c r="DR11" s="125"/>
      <c r="DS11" s="125"/>
      <c r="DT11" s="125"/>
      <c r="DU11" s="125"/>
      <c r="DV11" s="125"/>
      <c r="DW11" s="125"/>
      <c r="DX11" s="125"/>
      <c r="DY11" s="125"/>
      <c r="DZ11" s="125"/>
      <c r="EA11" s="125"/>
      <c r="EB11" s="125"/>
      <c r="EC11" s="125"/>
      <c r="ED11" s="125"/>
      <c r="EE11" s="125"/>
      <c r="EF11" s="125"/>
      <c r="EG11" s="125"/>
      <c r="EH11" s="125"/>
      <c r="EI11" s="125"/>
      <c r="EJ11" s="125"/>
      <c r="EK11" s="125"/>
      <c r="EL11" s="125"/>
      <c r="EM11" s="125"/>
      <c r="EN11" s="125"/>
      <c r="EO11" s="125"/>
      <c r="EP11" s="125"/>
      <c r="EQ11" s="125"/>
      <c r="ER11" s="125"/>
      <c r="ES11" s="125"/>
      <c r="ET11" s="125"/>
      <c r="EU11" s="125"/>
      <c r="EV11" s="125"/>
      <c r="EW11" s="125"/>
      <c r="EX11" s="125"/>
      <c r="EY11" s="125"/>
      <c r="EZ11" s="125"/>
      <c r="FA11" s="125"/>
      <c r="FB11" s="125"/>
      <c r="FC11" s="125"/>
      <c r="FD11" s="125"/>
      <c r="FE11" s="125"/>
      <c r="FF11" s="125"/>
      <c r="FG11" s="125"/>
      <c r="FH11" s="125"/>
      <c r="FI11" s="125"/>
      <c r="FJ11" s="125"/>
      <c r="FK11" s="125"/>
      <c r="FL11" s="125"/>
      <c r="FM11" s="125"/>
      <c r="FN11" s="125"/>
      <c r="FO11" s="125"/>
      <c r="FP11" s="125"/>
      <c r="FQ11" s="125"/>
      <c r="FR11" s="125"/>
      <c r="FS11" s="125"/>
      <c r="FT11" s="125"/>
      <c r="FU11" s="125"/>
      <c r="FV11" s="125"/>
      <c r="FW11" s="125"/>
      <c r="FX11" s="125"/>
      <c r="FY11" s="125"/>
      <c r="FZ11" s="125"/>
      <c r="GA11" s="125"/>
      <c r="GB11" s="125"/>
      <c r="GC11" s="125"/>
      <c r="GD11" s="125"/>
      <c r="GE11" s="125"/>
      <c r="GF11" s="125"/>
      <c r="GG11" s="125"/>
      <c r="GH11" s="125"/>
      <c r="GI11" s="125"/>
      <c r="GJ11" s="125"/>
      <c r="GK11" s="125"/>
      <c r="GL11" s="125"/>
      <c r="GM11" s="125"/>
      <c r="GN11" s="191"/>
    </row>
    <row r="12" spans="1:196" ht="13.9" thickBot="1">
      <c r="B12" s="153"/>
      <c r="C12" s="133"/>
      <c r="D12" s="138"/>
      <c r="E12" s="152"/>
      <c r="F12" s="133"/>
      <c r="G12" s="138"/>
      <c r="H12" s="151"/>
      <c r="I12" s="127"/>
      <c r="J12" s="127"/>
      <c r="K12" s="127"/>
      <c r="L12" s="127"/>
      <c r="M12" s="127"/>
      <c r="N12" s="127"/>
      <c r="O12" s="127"/>
      <c r="P12" s="127"/>
      <c r="Q12" s="127"/>
      <c r="R12" s="127"/>
      <c r="S12" s="127"/>
      <c r="T12" s="127"/>
      <c r="U12" s="127"/>
      <c r="V12" s="127"/>
      <c r="W12" s="127"/>
      <c r="X12" s="127"/>
      <c r="Y12" s="127"/>
    </row>
    <row r="13" spans="1:196" s="188" customFormat="1" ht="13.9" thickBot="1">
      <c r="A13" s="127"/>
      <c r="B13" s="153"/>
      <c r="C13" s="148" t="s">
        <v>36</v>
      </c>
      <c r="D13" s="147">
        <v>440</v>
      </c>
      <c r="E13" s="152"/>
      <c r="F13" s="148" t="s">
        <v>36</v>
      </c>
      <c r="G13" s="147">
        <v>450</v>
      </c>
      <c r="H13" s="151"/>
      <c r="I13" s="127"/>
      <c r="J13" s="127"/>
      <c r="K13" s="127"/>
      <c r="L13" s="127"/>
      <c r="M13" s="127"/>
      <c r="N13" s="127"/>
      <c r="O13" s="127"/>
      <c r="P13" s="127"/>
      <c r="Q13" s="127"/>
      <c r="R13" s="127"/>
      <c r="S13" s="127"/>
      <c r="T13" s="127"/>
      <c r="U13" s="127"/>
      <c r="V13" s="127"/>
      <c r="W13" s="127"/>
      <c r="X13" s="127"/>
      <c r="Y13" s="127"/>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Q13" s="125"/>
      <c r="BR13" s="125"/>
      <c r="BS13" s="125"/>
      <c r="BT13" s="125"/>
      <c r="BU13" s="125"/>
      <c r="BV13" s="125"/>
      <c r="BW13" s="125"/>
      <c r="BX13" s="125"/>
      <c r="BY13" s="125"/>
      <c r="BZ13" s="125"/>
      <c r="CA13" s="125"/>
      <c r="CB13" s="125"/>
      <c r="CC13" s="125"/>
      <c r="CD13" s="125"/>
      <c r="CE13" s="125"/>
      <c r="CF13" s="125"/>
      <c r="CG13" s="125"/>
      <c r="CH13" s="125"/>
      <c r="CI13" s="125"/>
      <c r="CJ13" s="125"/>
      <c r="CK13" s="125"/>
      <c r="CL13" s="125"/>
      <c r="CM13" s="125"/>
      <c r="CN13" s="125"/>
      <c r="CO13" s="125"/>
      <c r="CP13" s="125"/>
      <c r="CQ13" s="125"/>
      <c r="CR13" s="125"/>
      <c r="CS13" s="125"/>
      <c r="CT13" s="125"/>
      <c r="CU13" s="125"/>
      <c r="CV13" s="125"/>
      <c r="CW13" s="125"/>
      <c r="CX13" s="125"/>
      <c r="CY13" s="125"/>
      <c r="CZ13" s="125"/>
      <c r="DA13" s="125"/>
      <c r="DB13" s="125"/>
      <c r="DC13" s="125"/>
      <c r="DD13" s="125"/>
      <c r="DE13" s="125"/>
      <c r="DF13" s="125"/>
      <c r="DG13" s="125"/>
      <c r="DH13" s="125"/>
      <c r="DI13" s="125"/>
      <c r="DJ13" s="125"/>
      <c r="DK13" s="125"/>
      <c r="DL13" s="125"/>
      <c r="DM13" s="125"/>
      <c r="DN13" s="125"/>
      <c r="DO13" s="125"/>
      <c r="DP13" s="125"/>
      <c r="DQ13" s="125"/>
      <c r="DR13" s="125"/>
      <c r="DS13" s="125"/>
      <c r="DT13" s="125"/>
      <c r="DU13" s="125"/>
      <c r="DV13" s="125"/>
      <c r="DW13" s="125"/>
      <c r="DX13" s="125"/>
      <c r="DY13" s="125"/>
      <c r="DZ13" s="125"/>
      <c r="EA13" s="125"/>
      <c r="EB13" s="125"/>
      <c r="EC13" s="125"/>
      <c r="ED13" s="125"/>
      <c r="EE13" s="125"/>
      <c r="EF13" s="125"/>
      <c r="EG13" s="125"/>
      <c r="EH13" s="125"/>
      <c r="EI13" s="125"/>
      <c r="EJ13" s="125"/>
      <c r="EK13" s="125"/>
      <c r="EL13" s="125"/>
      <c r="EM13" s="125"/>
      <c r="EN13" s="125"/>
      <c r="EO13" s="125"/>
      <c r="EP13" s="125"/>
      <c r="EQ13" s="125"/>
      <c r="ER13" s="125"/>
      <c r="ES13" s="125"/>
      <c r="ET13" s="125"/>
      <c r="EU13" s="125"/>
      <c r="EV13" s="125"/>
      <c r="EW13" s="125"/>
      <c r="EX13" s="125"/>
      <c r="EY13" s="125"/>
      <c r="EZ13" s="125"/>
      <c r="FA13" s="125"/>
      <c r="FB13" s="125"/>
      <c r="FC13" s="125"/>
      <c r="FD13" s="125"/>
      <c r="FE13" s="125"/>
      <c r="FF13" s="125"/>
      <c r="FG13" s="125"/>
      <c r="FH13" s="125"/>
      <c r="FI13" s="125"/>
      <c r="FJ13" s="125"/>
      <c r="FK13" s="125"/>
      <c r="FL13" s="125"/>
      <c r="FM13" s="125"/>
      <c r="FN13" s="125"/>
      <c r="FO13" s="125"/>
      <c r="FP13" s="125"/>
      <c r="FQ13" s="125"/>
      <c r="FR13" s="125"/>
      <c r="FS13" s="125"/>
      <c r="FT13" s="125"/>
      <c r="FU13" s="125"/>
      <c r="FV13" s="125"/>
      <c r="FW13" s="125"/>
      <c r="FX13" s="125"/>
      <c r="FY13" s="125"/>
      <c r="FZ13" s="125"/>
      <c r="GA13" s="125"/>
      <c r="GB13" s="125"/>
      <c r="GC13" s="125"/>
      <c r="GD13" s="125"/>
      <c r="GE13" s="125"/>
      <c r="GF13" s="125"/>
      <c r="GG13" s="125"/>
      <c r="GH13" s="125"/>
      <c r="GI13" s="125"/>
      <c r="GJ13" s="125"/>
      <c r="GK13" s="125"/>
      <c r="GL13" s="125"/>
      <c r="GM13" s="125"/>
      <c r="GN13" s="189"/>
    </row>
    <row r="14" spans="1:196" s="186" customFormat="1" ht="13.9" thickBot="1">
      <c r="A14" s="127"/>
      <c r="B14" s="153"/>
      <c r="C14" s="133"/>
      <c r="D14" s="132"/>
      <c r="E14" s="152"/>
      <c r="F14" s="133"/>
      <c r="G14" s="132"/>
      <c r="H14" s="151"/>
      <c r="I14" s="127"/>
      <c r="J14" s="127"/>
      <c r="K14" s="127"/>
      <c r="L14" s="127"/>
      <c r="M14" s="127"/>
      <c r="N14" s="127"/>
      <c r="O14" s="127"/>
      <c r="P14" s="127"/>
      <c r="Q14" s="127"/>
      <c r="R14" s="127"/>
      <c r="S14" s="127"/>
      <c r="T14" s="127"/>
      <c r="U14" s="127"/>
      <c r="V14" s="127"/>
      <c r="W14" s="127"/>
      <c r="X14" s="127"/>
      <c r="Y14" s="127"/>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c r="BQ14" s="125"/>
      <c r="BR14" s="125"/>
      <c r="BS14" s="125"/>
      <c r="BT14" s="125"/>
      <c r="BU14" s="125"/>
      <c r="BV14" s="125"/>
      <c r="BW14" s="125"/>
      <c r="BX14" s="125"/>
      <c r="BY14" s="125"/>
      <c r="BZ14" s="125"/>
      <c r="CA14" s="125"/>
      <c r="CB14" s="125"/>
      <c r="CC14" s="125"/>
      <c r="CD14" s="125"/>
      <c r="CE14" s="125"/>
      <c r="CF14" s="125"/>
      <c r="CG14" s="125"/>
      <c r="CH14" s="125"/>
      <c r="CI14" s="125"/>
      <c r="CJ14" s="125"/>
      <c r="CK14" s="125"/>
      <c r="CL14" s="125"/>
      <c r="CM14" s="125"/>
      <c r="CN14" s="125"/>
      <c r="CO14" s="125"/>
      <c r="CP14" s="125"/>
      <c r="CQ14" s="125"/>
      <c r="CR14" s="125"/>
      <c r="CS14" s="125"/>
      <c r="CT14" s="125"/>
      <c r="CU14" s="125"/>
      <c r="CV14" s="125"/>
      <c r="CW14" s="125"/>
      <c r="CX14" s="125"/>
      <c r="CY14" s="125"/>
      <c r="CZ14" s="125"/>
      <c r="DA14" s="125"/>
      <c r="DB14" s="125"/>
      <c r="DC14" s="125"/>
      <c r="DD14" s="125"/>
      <c r="DE14" s="125"/>
      <c r="DF14" s="125"/>
      <c r="DG14" s="125"/>
      <c r="DH14" s="125"/>
      <c r="DI14" s="125"/>
      <c r="DJ14" s="125"/>
      <c r="DK14" s="125"/>
      <c r="DL14" s="125"/>
      <c r="DM14" s="125"/>
      <c r="DN14" s="125"/>
      <c r="DO14" s="125"/>
      <c r="DP14" s="125"/>
      <c r="DQ14" s="125"/>
      <c r="DR14" s="125"/>
      <c r="DS14" s="125"/>
      <c r="DT14" s="125"/>
      <c r="DU14" s="125"/>
      <c r="DV14" s="125"/>
      <c r="DW14" s="125"/>
      <c r="DX14" s="125"/>
      <c r="DY14" s="125"/>
      <c r="DZ14" s="125"/>
      <c r="EA14" s="125"/>
      <c r="EB14" s="125"/>
      <c r="EC14" s="125"/>
      <c r="ED14" s="125"/>
      <c r="EE14" s="125"/>
      <c r="EF14" s="125"/>
      <c r="EG14" s="125"/>
      <c r="EH14" s="125"/>
      <c r="EI14" s="125"/>
      <c r="EJ14" s="125"/>
      <c r="EK14" s="125"/>
      <c r="EL14" s="125"/>
      <c r="EM14" s="125"/>
      <c r="EN14" s="125"/>
      <c r="EO14" s="125"/>
      <c r="EP14" s="125"/>
      <c r="EQ14" s="125"/>
      <c r="ER14" s="125"/>
      <c r="ES14" s="125"/>
      <c r="ET14" s="125"/>
      <c r="EU14" s="125"/>
      <c r="EV14" s="125"/>
      <c r="EW14" s="125"/>
      <c r="EX14" s="125"/>
      <c r="EY14" s="125"/>
      <c r="EZ14" s="125"/>
      <c r="FA14" s="125"/>
      <c r="FB14" s="125"/>
      <c r="FC14" s="125"/>
      <c r="FD14" s="125"/>
      <c r="FE14" s="125"/>
      <c r="FF14" s="125"/>
      <c r="FG14" s="125"/>
      <c r="FH14" s="125"/>
      <c r="FI14" s="125"/>
      <c r="FJ14" s="125"/>
      <c r="FK14" s="125"/>
      <c r="FL14" s="125"/>
      <c r="FM14" s="125"/>
      <c r="FN14" s="125"/>
      <c r="FO14" s="125"/>
      <c r="FP14" s="125"/>
      <c r="FQ14" s="125"/>
      <c r="FR14" s="125"/>
      <c r="FS14" s="125"/>
      <c r="FT14" s="125"/>
      <c r="FU14" s="125"/>
      <c r="FV14" s="125"/>
      <c r="FW14" s="125"/>
      <c r="FX14" s="125"/>
      <c r="FY14" s="125"/>
      <c r="FZ14" s="125"/>
      <c r="GA14" s="125"/>
      <c r="GB14" s="125"/>
      <c r="GC14" s="125"/>
      <c r="GD14" s="125"/>
      <c r="GE14" s="125"/>
      <c r="GF14" s="125"/>
      <c r="GG14" s="125"/>
      <c r="GH14" s="125"/>
      <c r="GI14" s="125"/>
      <c r="GJ14" s="125"/>
      <c r="GK14" s="125"/>
      <c r="GL14" s="125"/>
      <c r="GM14" s="125"/>
      <c r="GN14" s="187"/>
    </row>
    <row r="15" spans="1:196" s="184" customFormat="1" ht="13.9" thickBot="1">
      <c r="A15" s="127"/>
      <c r="B15" s="153"/>
      <c r="C15" s="146" t="s">
        <v>37</v>
      </c>
      <c r="D15" s="145">
        <v>48</v>
      </c>
      <c r="E15" s="152"/>
      <c r="F15" s="146" t="s">
        <v>37</v>
      </c>
      <c r="G15" s="145">
        <v>48</v>
      </c>
      <c r="H15" s="151"/>
      <c r="I15" s="127"/>
      <c r="J15" s="127"/>
      <c r="K15" s="127"/>
      <c r="L15" s="127"/>
      <c r="M15" s="127"/>
      <c r="N15" s="127"/>
      <c r="O15" s="127"/>
      <c r="P15" s="127"/>
      <c r="Q15" s="127"/>
      <c r="R15" s="127"/>
      <c r="S15" s="127"/>
      <c r="T15" s="127"/>
      <c r="U15" s="127"/>
      <c r="V15" s="127"/>
      <c r="W15" s="127"/>
      <c r="X15" s="127"/>
      <c r="Y15" s="127"/>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c r="BR15" s="125"/>
      <c r="BS15" s="125"/>
      <c r="BT15" s="125"/>
      <c r="BU15" s="125"/>
      <c r="BV15" s="125"/>
      <c r="BW15" s="125"/>
      <c r="BX15" s="125"/>
      <c r="BY15" s="125"/>
      <c r="BZ15" s="125"/>
      <c r="CA15" s="125"/>
      <c r="CB15" s="125"/>
      <c r="CC15" s="125"/>
      <c r="CD15" s="125"/>
      <c r="CE15" s="125"/>
      <c r="CF15" s="125"/>
      <c r="CG15" s="125"/>
      <c r="CH15" s="125"/>
      <c r="CI15" s="125"/>
      <c r="CJ15" s="125"/>
      <c r="CK15" s="125"/>
      <c r="CL15" s="125"/>
      <c r="CM15" s="125"/>
      <c r="CN15" s="125"/>
      <c r="CO15" s="125"/>
      <c r="CP15" s="125"/>
      <c r="CQ15" s="125"/>
      <c r="CR15" s="125"/>
      <c r="CS15" s="125"/>
      <c r="CT15" s="125"/>
      <c r="CU15" s="125"/>
      <c r="CV15" s="125"/>
      <c r="CW15" s="125"/>
      <c r="CX15" s="125"/>
      <c r="CY15" s="125"/>
      <c r="CZ15" s="125"/>
      <c r="DA15" s="125"/>
      <c r="DB15" s="125"/>
      <c r="DC15" s="125"/>
      <c r="DD15" s="125"/>
      <c r="DE15" s="125"/>
      <c r="DF15" s="125"/>
      <c r="DG15" s="125"/>
      <c r="DH15" s="125"/>
      <c r="DI15" s="125"/>
      <c r="DJ15" s="125"/>
      <c r="DK15" s="125"/>
      <c r="DL15" s="125"/>
      <c r="DM15" s="125"/>
      <c r="DN15" s="125"/>
      <c r="DO15" s="125"/>
      <c r="DP15" s="125"/>
      <c r="DQ15" s="125"/>
      <c r="DR15" s="125"/>
      <c r="DS15" s="125"/>
      <c r="DT15" s="125"/>
      <c r="DU15" s="125"/>
      <c r="DV15" s="125"/>
      <c r="DW15" s="125"/>
      <c r="DX15" s="125"/>
      <c r="DY15" s="125"/>
      <c r="DZ15" s="125"/>
      <c r="EA15" s="125"/>
      <c r="EB15" s="125"/>
      <c r="EC15" s="125"/>
      <c r="ED15" s="125"/>
      <c r="EE15" s="125"/>
      <c r="EF15" s="125"/>
      <c r="EG15" s="125"/>
      <c r="EH15" s="125"/>
      <c r="EI15" s="125"/>
      <c r="EJ15" s="125"/>
      <c r="EK15" s="125"/>
      <c r="EL15" s="125"/>
      <c r="EM15" s="125"/>
      <c r="EN15" s="125"/>
      <c r="EO15" s="125"/>
      <c r="EP15" s="125"/>
      <c r="EQ15" s="125"/>
      <c r="ER15" s="125"/>
      <c r="ES15" s="125"/>
      <c r="ET15" s="125"/>
      <c r="EU15" s="125"/>
      <c r="EV15" s="125"/>
      <c r="EW15" s="125"/>
      <c r="EX15" s="125"/>
      <c r="EY15" s="125"/>
      <c r="EZ15" s="125"/>
      <c r="FA15" s="125"/>
      <c r="FB15" s="125"/>
      <c r="FC15" s="125"/>
      <c r="FD15" s="125"/>
      <c r="FE15" s="125"/>
      <c r="FF15" s="125"/>
      <c r="FG15" s="125"/>
      <c r="FH15" s="125"/>
      <c r="FI15" s="125"/>
      <c r="FJ15" s="125"/>
      <c r="FK15" s="125"/>
      <c r="FL15" s="125"/>
      <c r="FM15" s="125"/>
      <c r="FN15" s="125"/>
      <c r="FO15" s="125"/>
      <c r="FP15" s="125"/>
      <c r="FQ15" s="125"/>
      <c r="FR15" s="125"/>
      <c r="FS15" s="125"/>
      <c r="FT15" s="125"/>
      <c r="FU15" s="125"/>
      <c r="FV15" s="125"/>
      <c r="FW15" s="125"/>
      <c r="FX15" s="125"/>
      <c r="FY15" s="125"/>
      <c r="FZ15" s="125"/>
      <c r="GA15" s="125"/>
      <c r="GB15" s="125"/>
      <c r="GC15" s="125"/>
      <c r="GD15" s="125"/>
      <c r="GE15" s="125"/>
      <c r="GF15" s="125"/>
      <c r="GG15" s="125"/>
      <c r="GH15" s="125"/>
      <c r="GI15" s="125"/>
      <c r="GJ15" s="125"/>
      <c r="GK15" s="125"/>
      <c r="GL15" s="125"/>
      <c r="GM15" s="125"/>
      <c r="GN15" s="185"/>
    </row>
    <row r="16" spans="1:196" ht="13.9" thickBot="1">
      <c r="B16" s="153"/>
      <c r="C16" s="133"/>
      <c r="D16" s="132"/>
      <c r="E16" s="152"/>
      <c r="F16" s="133"/>
      <c r="G16" s="132"/>
      <c r="H16" s="151"/>
      <c r="I16" s="127"/>
      <c r="J16" s="127"/>
      <c r="K16" s="127"/>
      <c r="L16" s="127"/>
      <c r="M16" s="127"/>
      <c r="N16" s="127"/>
      <c r="O16" s="127"/>
      <c r="P16" s="127"/>
      <c r="Q16" s="127"/>
      <c r="R16" s="127"/>
      <c r="S16" s="127"/>
      <c r="T16" s="127"/>
      <c r="U16" s="127"/>
      <c r="V16" s="127"/>
      <c r="W16" s="127"/>
      <c r="X16" s="127"/>
      <c r="Y16" s="127"/>
    </row>
    <row r="17" spans="1:196" s="182" customFormat="1" ht="15.4" thickBot="1">
      <c r="A17" s="127"/>
      <c r="B17" s="153"/>
      <c r="C17" s="144" t="s">
        <v>38</v>
      </c>
      <c r="D17" s="143">
        <v>40.21</v>
      </c>
      <c r="E17" s="152"/>
      <c r="F17" s="144" t="s">
        <v>38</v>
      </c>
      <c r="G17" s="143">
        <v>44.92</v>
      </c>
      <c r="H17" s="151"/>
      <c r="I17" s="127"/>
      <c r="J17" s="127"/>
      <c r="K17" s="127"/>
      <c r="L17" s="127"/>
      <c r="M17" s="127"/>
      <c r="N17" s="127"/>
      <c r="O17" s="127"/>
      <c r="P17" s="127"/>
      <c r="Q17" s="127"/>
      <c r="R17" s="127"/>
      <c r="S17" s="127"/>
      <c r="T17" s="127"/>
      <c r="U17" s="127"/>
      <c r="V17" s="127"/>
      <c r="W17" s="127"/>
      <c r="X17" s="127"/>
      <c r="Y17" s="127"/>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c r="BQ17" s="125"/>
      <c r="BR17" s="125"/>
      <c r="BS17" s="125"/>
      <c r="BT17" s="125"/>
      <c r="BU17" s="125"/>
      <c r="BV17" s="125"/>
      <c r="BW17" s="125"/>
      <c r="BX17" s="125"/>
      <c r="BY17" s="125"/>
      <c r="BZ17" s="125"/>
      <c r="CA17" s="125"/>
      <c r="CB17" s="125"/>
      <c r="CC17" s="125"/>
      <c r="CD17" s="125"/>
      <c r="CE17" s="125"/>
      <c r="CF17" s="125"/>
      <c r="CG17" s="125"/>
      <c r="CH17" s="125"/>
      <c r="CI17" s="125"/>
      <c r="CJ17" s="125"/>
      <c r="CK17" s="125"/>
      <c r="CL17" s="125"/>
      <c r="CM17" s="125"/>
      <c r="CN17" s="125"/>
      <c r="CO17" s="125"/>
      <c r="CP17" s="125"/>
      <c r="CQ17" s="125"/>
      <c r="CR17" s="125"/>
      <c r="CS17" s="125"/>
      <c r="CT17" s="125"/>
      <c r="CU17" s="125"/>
      <c r="CV17" s="125"/>
      <c r="CW17" s="125"/>
      <c r="CX17" s="125"/>
      <c r="CY17" s="125"/>
      <c r="CZ17" s="125"/>
      <c r="DA17" s="125"/>
      <c r="DB17" s="125"/>
      <c r="DC17" s="125"/>
      <c r="DD17" s="125"/>
      <c r="DE17" s="125"/>
      <c r="DF17" s="125"/>
      <c r="DG17" s="125"/>
      <c r="DH17" s="125"/>
      <c r="DI17" s="125"/>
      <c r="DJ17" s="125"/>
      <c r="DK17" s="125"/>
      <c r="DL17" s="125"/>
      <c r="DM17" s="125"/>
      <c r="DN17" s="125"/>
      <c r="DO17" s="125"/>
      <c r="DP17" s="125"/>
      <c r="DQ17" s="125"/>
      <c r="DR17" s="125"/>
      <c r="DS17" s="125"/>
      <c r="DT17" s="125"/>
      <c r="DU17" s="125"/>
      <c r="DV17" s="125"/>
      <c r="DW17" s="125"/>
      <c r="DX17" s="125"/>
      <c r="DY17" s="125"/>
      <c r="DZ17" s="125"/>
      <c r="EA17" s="125"/>
      <c r="EB17" s="125"/>
      <c r="EC17" s="125"/>
      <c r="ED17" s="125"/>
      <c r="EE17" s="125"/>
      <c r="EF17" s="125"/>
      <c r="EG17" s="125"/>
      <c r="EH17" s="125"/>
      <c r="EI17" s="125"/>
      <c r="EJ17" s="125"/>
      <c r="EK17" s="125"/>
      <c r="EL17" s="125"/>
      <c r="EM17" s="125"/>
      <c r="EN17" s="125"/>
      <c r="EO17" s="125"/>
      <c r="EP17" s="125"/>
      <c r="EQ17" s="125"/>
      <c r="ER17" s="125"/>
      <c r="ES17" s="125"/>
      <c r="ET17" s="125"/>
      <c r="EU17" s="125"/>
      <c r="EV17" s="125"/>
      <c r="EW17" s="125"/>
      <c r="EX17" s="125"/>
      <c r="EY17" s="125"/>
      <c r="EZ17" s="125"/>
      <c r="FA17" s="125"/>
      <c r="FB17" s="125"/>
      <c r="FC17" s="125"/>
      <c r="FD17" s="125"/>
      <c r="FE17" s="125"/>
      <c r="FF17" s="125"/>
      <c r="FG17" s="125"/>
      <c r="FH17" s="125"/>
      <c r="FI17" s="125"/>
      <c r="FJ17" s="125"/>
      <c r="FK17" s="125"/>
      <c r="FL17" s="125"/>
      <c r="FM17" s="125"/>
      <c r="FN17" s="125"/>
      <c r="FO17" s="125"/>
      <c r="FP17" s="125"/>
      <c r="FQ17" s="125"/>
      <c r="FR17" s="125"/>
      <c r="FS17" s="125"/>
      <c r="FT17" s="125"/>
      <c r="FU17" s="125"/>
      <c r="FV17" s="125"/>
      <c r="FW17" s="125"/>
      <c r="FX17" s="125"/>
      <c r="FY17" s="125"/>
      <c r="FZ17" s="125"/>
      <c r="GA17" s="125"/>
      <c r="GB17" s="125"/>
      <c r="GC17" s="125"/>
      <c r="GD17" s="125"/>
      <c r="GE17" s="125"/>
      <c r="GF17" s="125"/>
      <c r="GG17" s="125"/>
      <c r="GH17" s="125"/>
      <c r="GI17" s="125"/>
      <c r="GJ17" s="125"/>
      <c r="GK17" s="125"/>
      <c r="GL17" s="125"/>
      <c r="GM17" s="125"/>
      <c r="GN17" s="183"/>
    </row>
    <row r="18" spans="1:196" ht="13.9" thickBot="1">
      <c r="B18" s="153"/>
      <c r="C18" s="133"/>
      <c r="D18" s="132"/>
      <c r="E18" s="152"/>
      <c r="F18" s="133"/>
      <c r="G18" s="132"/>
      <c r="H18" s="151"/>
      <c r="I18" s="127"/>
      <c r="J18" s="127"/>
      <c r="K18" s="127"/>
      <c r="L18" s="127"/>
      <c r="M18" s="127"/>
      <c r="N18" s="127"/>
      <c r="O18" s="127"/>
      <c r="P18" s="127"/>
      <c r="Q18" s="127"/>
      <c r="R18" s="127"/>
      <c r="S18" s="127"/>
      <c r="T18" s="127"/>
      <c r="U18" s="127"/>
      <c r="V18" s="127"/>
      <c r="W18" s="127"/>
      <c r="X18" s="127"/>
      <c r="Y18" s="127"/>
    </row>
    <row r="19" spans="1:196" ht="15.4" thickBot="1">
      <c r="B19" s="153"/>
      <c r="C19" s="177" t="s">
        <v>39</v>
      </c>
      <c r="D19" s="181">
        <v>7.0000000000000007E-2</v>
      </c>
      <c r="E19" s="152"/>
      <c r="F19" s="177" t="s">
        <v>39</v>
      </c>
      <c r="G19" s="181">
        <v>7.0000000000000007E-2</v>
      </c>
      <c r="H19" s="151"/>
      <c r="I19" s="127"/>
      <c r="J19" s="127"/>
      <c r="K19" s="127"/>
      <c r="L19" s="127"/>
      <c r="M19" s="127"/>
      <c r="N19" s="127"/>
      <c r="O19" s="127"/>
      <c r="P19" s="127"/>
      <c r="Q19" s="127"/>
      <c r="R19" s="127"/>
      <c r="S19" s="127"/>
      <c r="T19" s="127"/>
      <c r="U19" s="127"/>
      <c r="V19" s="127"/>
      <c r="W19" s="127"/>
      <c r="X19" s="127"/>
      <c r="Y19" s="127"/>
    </row>
    <row r="20" spans="1:196" ht="13.9" thickBot="1">
      <c r="B20" s="153"/>
      <c r="C20" s="133"/>
      <c r="D20" s="132"/>
      <c r="E20" s="152"/>
      <c r="F20" s="133"/>
      <c r="G20" s="132"/>
      <c r="H20" s="151"/>
      <c r="I20" s="127"/>
      <c r="J20" s="127"/>
      <c r="K20" s="127"/>
      <c r="L20" s="127"/>
      <c r="M20" s="127"/>
      <c r="N20" s="127"/>
      <c r="O20" s="127"/>
      <c r="P20" s="127"/>
      <c r="Q20" s="127"/>
      <c r="R20" s="127"/>
      <c r="S20" s="127"/>
      <c r="T20" s="127"/>
      <c r="U20" s="127"/>
      <c r="V20" s="127"/>
      <c r="W20" s="127"/>
      <c r="X20" s="127"/>
      <c r="Y20" s="127"/>
    </row>
    <row r="21" spans="1:196" ht="15.4" thickBot="1">
      <c r="B21" s="153"/>
      <c r="C21" s="177" t="s">
        <v>40</v>
      </c>
      <c r="D21" s="181">
        <v>7.0000000000000007E-2</v>
      </c>
      <c r="E21" s="152"/>
      <c r="F21" s="177" t="s">
        <v>40</v>
      </c>
      <c r="G21" s="181">
        <v>7.0000000000000007E-2</v>
      </c>
      <c r="H21" s="151"/>
      <c r="I21" s="127"/>
      <c r="J21" s="127"/>
      <c r="K21" s="127"/>
      <c r="L21" s="127"/>
      <c r="M21" s="127"/>
      <c r="N21" s="127"/>
      <c r="O21" s="127"/>
      <c r="P21" s="127"/>
      <c r="Q21" s="127"/>
      <c r="R21" s="127"/>
      <c r="S21" s="127"/>
      <c r="T21" s="127"/>
      <c r="U21" s="127"/>
      <c r="V21" s="127"/>
      <c r="W21" s="127"/>
      <c r="X21" s="127"/>
      <c r="Y21" s="127"/>
    </row>
    <row r="22" spans="1:196" ht="15.4" thickBot="1">
      <c r="B22" s="153"/>
      <c r="C22" s="133"/>
      <c r="D22" s="180"/>
      <c r="E22" s="152"/>
      <c r="F22" s="133"/>
      <c r="G22" s="180"/>
      <c r="H22" s="151"/>
      <c r="I22" s="127"/>
      <c r="J22" s="127"/>
      <c r="K22" s="127"/>
      <c r="L22" s="127"/>
      <c r="M22" s="127"/>
      <c r="N22" s="127"/>
      <c r="O22" s="127"/>
      <c r="P22" s="127"/>
      <c r="Q22" s="127"/>
      <c r="R22" s="127"/>
      <c r="S22" s="127"/>
      <c r="T22" s="127"/>
      <c r="U22" s="127"/>
      <c r="V22" s="127"/>
      <c r="W22" s="127"/>
      <c r="X22" s="127"/>
      <c r="Y22" s="127"/>
    </row>
    <row r="23" spans="1:196" ht="15.4" thickBot="1">
      <c r="B23" s="153"/>
      <c r="C23" s="177" t="s">
        <v>41</v>
      </c>
      <c r="D23" s="176">
        <v>0</v>
      </c>
      <c r="E23" s="152"/>
      <c r="F23" s="177" t="s">
        <v>41</v>
      </c>
      <c r="G23" s="176">
        <v>0</v>
      </c>
      <c r="H23" s="151"/>
      <c r="I23" s="127"/>
      <c r="J23" s="127"/>
      <c r="K23" s="127"/>
      <c r="L23" s="127"/>
      <c r="M23" s="127"/>
      <c r="N23" s="127"/>
      <c r="O23" s="127"/>
      <c r="P23" s="127"/>
      <c r="Q23" s="127"/>
      <c r="R23" s="127"/>
      <c r="S23" s="127"/>
      <c r="T23" s="127"/>
      <c r="U23" s="127"/>
      <c r="V23" s="127"/>
      <c r="W23" s="127"/>
      <c r="X23" s="127"/>
      <c r="Y23" s="127"/>
    </row>
    <row r="24" spans="1:196" ht="15.4" thickBot="1">
      <c r="B24" s="153"/>
      <c r="C24" s="133"/>
      <c r="D24" s="179"/>
      <c r="E24" s="152"/>
      <c r="F24" s="133"/>
      <c r="G24" s="179"/>
      <c r="H24" s="151"/>
      <c r="I24" s="127"/>
      <c r="J24" s="127"/>
      <c r="K24" s="127"/>
      <c r="L24" s="127"/>
      <c r="M24" s="127"/>
      <c r="N24" s="127"/>
      <c r="O24" s="127"/>
      <c r="P24" s="127"/>
      <c r="Q24" s="127"/>
      <c r="R24" s="127"/>
      <c r="S24" s="127"/>
      <c r="T24" s="127"/>
      <c r="U24" s="127"/>
      <c r="V24" s="127"/>
      <c r="W24" s="127"/>
      <c r="X24" s="127"/>
      <c r="Y24" s="127"/>
    </row>
    <row r="25" spans="1:196" ht="15.4" thickBot="1">
      <c r="B25" s="153"/>
      <c r="C25" s="133" t="s">
        <v>42</v>
      </c>
      <c r="D25" s="178">
        <v>0</v>
      </c>
      <c r="E25" s="152"/>
      <c r="F25" s="177" t="s">
        <v>42</v>
      </c>
      <c r="G25" s="176">
        <v>0</v>
      </c>
      <c r="H25" s="151"/>
      <c r="I25" s="127"/>
      <c r="J25" s="127"/>
      <c r="K25" s="127"/>
      <c r="L25" s="127"/>
      <c r="M25" s="127"/>
      <c r="N25" s="127"/>
      <c r="O25" s="127"/>
      <c r="P25" s="127"/>
      <c r="Q25" s="127"/>
      <c r="R25" s="127"/>
      <c r="S25" s="127"/>
      <c r="T25" s="127"/>
      <c r="U25" s="127"/>
      <c r="V25" s="127"/>
      <c r="W25" s="127"/>
      <c r="X25" s="127"/>
      <c r="Y25" s="127"/>
    </row>
    <row r="26" spans="1:196" ht="15.4" thickBot="1">
      <c r="B26" s="153"/>
      <c r="C26" s="133"/>
      <c r="D26" s="171"/>
      <c r="E26" s="152"/>
      <c r="F26" s="133"/>
      <c r="G26" s="171"/>
      <c r="H26" s="151"/>
      <c r="I26" s="127"/>
      <c r="J26" s="127"/>
      <c r="K26" s="127"/>
      <c r="L26" s="127"/>
      <c r="M26" s="127"/>
      <c r="N26" s="127"/>
      <c r="O26" s="127"/>
      <c r="P26" s="127"/>
      <c r="Q26" s="127"/>
      <c r="R26" s="127"/>
      <c r="S26" s="127"/>
      <c r="T26" s="127"/>
      <c r="U26" s="127"/>
      <c r="V26" s="127"/>
      <c r="W26" s="127"/>
      <c r="X26" s="127"/>
      <c r="Y26" s="127"/>
    </row>
    <row r="27" spans="1:196" ht="15.4" thickBot="1">
      <c r="B27" s="153"/>
      <c r="C27" s="135" t="s">
        <v>43</v>
      </c>
      <c r="D27" s="175">
        <f>(((G27*G15)*(G11))/D11)/D15</f>
        <v>47.300000000000004</v>
      </c>
      <c r="E27" s="152"/>
      <c r="F27" s="174" t="s">
        <v>43</v>
      </c>
      <c r="G27" s="173">
        <v>40</v>
      </c>
      <c r="H27" s="151"/>
      <c r="I27" s="127"/>
      <c r="J27" s="127"/>
      <c r="K27" s="127"/>
      <c r="L27" s="127"/>
      <c r="M27" s="127"/>
      <c r="N27" s="127"/>
      <c r="O27" s="127"/>
      <c r="P27" s="127"/>
      <c r="Q27" s="127"/>
      <c r="R27" s="127"/>
      <c r="S27" s="127"/>
      <c r="T27" s="127"/>
      <c r="U27" s="127"/>
      <c r="V27" s="127"/>
      <c r="W27" s="127"/>
      <c r="X27" s="127"/>
      <c r="Y27" s="127"/>
    </row>
    <row r="28" spans="1:196" ht="15">
      <c r="B28" s="153"/>
      <c r="C28" s="133"/>
      <c r="D28" s="172"/>
      <c r="E28" s="152"/>
      <c r="F28" s="133"/>
      <c r="G28" s="171"/>
      <c r="H28" s="151"/>
      <c r="I28" s="127"/>
      <c r="J28" s="127"/>
      <c r="K28" s="127"/>
      <c r="L28" s="127"/>
      <c r="M28" s="127"/>
      <c r="N28" s="127"/>
      <c r="O28" s="127"/>
      <c r="P28" s="127"/>
      <c r="Q28" s="127"/>
      <c r="R28" s="127"/>
      <c r="S28" s="127"/>
      <c r="T28" s="127"/>
      <c r="U28" s="127"/>
      <c r="V28" s="127"/>
      <c r="W28" s="127"/>
      <c r="X28" s="127"/>
      <c r="Y28" s="127"/>
    </row>
    <row r="29" spans="1:196" ht="15">
      <c r="B29" s="153"/>
      <c r="C29" s="135" t="s">
        <v>44</v>
      </c>
      <c r="D29" s="170">
        <f>D27*D39</f>
        <v>78511.794239999988</v>
      </c>
      <c r="E29" s="152"/>
      <c r="F29" s="135" t="s">
        <v>44</v>
      </c>
      <c r="G29" s="169">
        <f>G27*G39</f>
        <v>74171.903999999995</v>
      </c>
      <c r="H29" s="151"/>
      <c r="I29" s="127"/>
      <c r="J29" s="127"/>
      <c r="K29" s="127"/>
      <c r="L29" s="127"/>
      <c r="M29" s="127"/>
      <c r="N29" s="127"/>
      <c r="O29" s="127"/>
      <c r="P29" s="127"/>
      <c r="Q29" s="127"/>
      <c r="R29" s="127"/>
      <c r="S29" s="127"/>
      <c r="T29" s="127"/>
      <c r="U29" s="127"/>
      <c r="V29" s="127"/>
      <c r="W29" s="127"/>
      <c r="X29" s="127"/>
      <c r="Y29" s="127"/>
    </row>
    <row r="30" spans="1:196" ht="15">
      <c r="B30" s="153"/>
      <c r="C30" s="133"/>
      <c r="D30" s="168"/>
      <c r="E30" s="152"/>
      <c r="F30" s="133"/>
      <c r="G30" s="168"/>
      <c r="H30" s="151"/>
      <c r="I30" s="127"/>
      <c r="J30" s="127"/>
      <c r="K30" s="127"/>
      <c r="L30" s="127"/>
      <c r="M30" s="127"/>
      <c r="N30" s="127"/>
      <c r="O30" s="127"/>
      <c r="P30" s="127"/>
      <c r="Q30" s="127"/>
      <c r="R30" s="127"/>
      <c r="S30" s="127"/>
      <c r="T30" s="127"/>
      <c r="U30" s="127"/>
      <c r="V30" s="127"/>
      <c r="W30" s="127"/>
      <c r="X30" s="127"/>
      <c r="Y30" s="127"/>
    </row>
    <row r="31" spans="1:196" ht="15">
      <c r="B31" s="153"/>
      <c r="C31" s="135" t="s">
        <v>45</v>
      </c>
      <c r="D31" s="134">
        <f>((((-D19+(-D21))+1)*D17)-D23)</f>
        <v>34.580599999999997</v>
      </c>
      <c r="E31" s="152"/>
      <c r="F31" s="135" t="s">
        <v>45</v>
      </c>
      <c r="G31" s="134">
        <f>((((-G19+(-G21))+1)*G17)-G23)</f>
        <v>38.6312</v>
      </c>
      <c r="H31" s="151"/>
      <c r="I31" s="127"/>
      <c r="J31" s="127"/>
      <c r="K31" s="127"/>
      <c r="L31" s="127"/>
      <c r="M31" s="127"/>
      <c r="N31" s="127"/>
      <c r="O31" s="127"/>
      <c r="P31" s="127"/>
      <c r="Q31" s="127"/>
      <c r="R31" s="127"/>
      <c r="S31" s="127"/>
      <c r="T31" s="127"/>
      <c r="U31" s="127"/>
      <c r="V31" s="127"/>
      <c r="W31" s="127"/>
      <c r="X31" s="127"/>
      <c r="Y31" s="127"/>
    </row>
    <row r="32" spans="1:196" ht="15">
      <c r="B32" s="153"/>
      <c r="C32" s="133"/>
      <c r="D32" s="167"/>
      <c r="E32" s="152"/>
      <c r="F32" s="133"/>
      <c r="G32" s="167"/>
      <c r="H32" s="151"/>
      <c r="I32" s="127"/>
      <c r="J32" s="127"/>
      <c r="K32" s="127"/>
      <c r="L32" s="127"/>
      <c r="M32" s="127"/>
      <c r="N32" s="127"/>
      <c r="O32" s="127"/>
      <c r="P32" s="127"/>
      <c r="Q32" s="127"/>
      <c r="R32" s="127"/>
      <c r="S32" s="127"/>
      <c r="T32" s="127"/>
      <c r="U32" s="127"/>
      <c r="V32" s="127"/>
      <c r="W32" s="127"/>
      <c r="X32" s="127"/>
      <c r="Y32" s="127"/>
    </row>
    <row r="33" spans="1:196" ht="15">
      <c r="B33" s="153"/>
      <c r="C33" s="135" t="s">
        <v>46</v>
      </c>
      <c r="D33" s="134">
        <f>(D25/D15)+D31</f>
        <v>34.580599999999997</v>
      </c>
      <c r="E33" s="152"/>
      <c r="F33" s="135" t="s">
        <v>46</v>
      </c>
      <c r="G33" s="134">
        <f>(G25/G15)+G31</f>
        <v>38.6312</v>
      </c>
      <c r="H33" s="151"/>
      <c r="I33" s="127"/>
      <c r="J33" s="127"/>
      <c r="K33" s="127"/>
      <c r="L33" s="127"/>
      <c r="M33" s="127"/>
      <c r="N33" s="127"/>
      <c r="O33" s="127"/>
      <c r="P33" s="127"/>
      <c r="Q33" s="127"/>
      <c r="R33" s="127"/>
      <c r="S33" s="127"/>
      <c r="T33" s="127"/>
      <c r="U33" s="127"/>
      <c r="V33" s="127"/>
      <c r="W33" s="127"/>
      <c r="X33" s="127"/>
      <c r="Y33" s="127"/>
    </row>
    <row r="34" spans="1:196" ht="15">
      <c r="B34" s="153"/>
      <c r="C34" s="133"/>
      <c r="D34" s="167"/>
      <c r="E34" s="152"/>
      <c r="F34" s="133"/>
      <c r="G34" s="167"/>
      <c r="H34" s="151"/>
      <c r="I34" s="127"/>
      <c r="J34" s="127"/>
      <c r="K34" s="127"/>
      <c r="L34" s="127"/>
      <c r="M34" s="127"/>
      <c r="N34" s="127"/>
      <c r="O34" s="127"/>
      <c r="P34" s="127"/>
      <c r="Q34" s="127"/>
      <c r="R34" s="127"/>
      <c r="S34" s="127"/>
      <c r="T34" s="127"/>
      <c r="U34" s="127"/>
      <c r="V34" s="127"/>
      <c r="W34" s="127"/>
      <c r="X34" s="127"/>
      <c r="Y34" s="127"/>
    </row>
    <row r="35" spans="1:196">
      <c r="B35" s="153"/>
      <c r="C35" s="135" t="s">
        <v>47</v>
      </c>
      <c r="D35" s="142">
        <f>SUM(D31/D11)</f>
        <v>8.645149999999999E-3</v>
      </c>
      <c r="E35" s="152"/>
      <c r="F35" s="135" t="s">
        <v>47</v>
      </c>
      <c r="G35" s="142">
        <f>SUM(G31/G11)</f>
        <v>8.1672727272727279E-3</v>
      </c>
      <c r="H35" s="151"/>
      <c r="I35" s="127"/>
      <c r="J35" s="127"/>
      <c r="K35" s="127"/>
      <c r="L35" s="127"/>
      <c r="M35" s="127"/>
      <c r="N35" s="127"/>
      <c r="O35" s="127"/>
      <c r="P35" s="127"/>
      <c r="Q35" s="127"/>
      <c r="R35" s="127"/>
      <c r="S35" s="127"/>
      <c r="T35" s="127"/>
      <c r="U35" s="127"/>
      <c r="V35" s="127"/>
      <c r="W35" s="127"/>
      <c r="X35" s="127"/>
      <c r="Y35" s="127"/>
    </row>
    <row r="36" spans="1:196" ht="13.9">
      <c r="B36" s="153"/>
      <c r="C36" s="166" t="s">
        <v>48</v>
      </c>
      <c r="D36" s="132"/>
      <c r="E36" s="152"/>
      <c r="F36" s="166" t="s">
        <v>48</v>
      </c>
      <c r="G36" s="132"/>
      <c r="H36" s="151"/>
      <c r="I36" s="127"/>
      <c r="J36" s="127"/>
      <c r="K36" s="127"/>
      <c r="L36" s="127"/>
      <c r="M36" s="127"/>
      <c r="N36" s="127"/>
      <c r="O36" s="127"/>
      <c r="P36" s="127"/>
      <c r="Q36" s="127"/>
      <c r="R36" s="127"/>
      <c r="S36" s="127"/>
      <c r="T36" s="127"/>
      <c r="U36" s="127"/>
      <c r="V36" s="127"/>
      <c r="W36" s="127"/>
      <c r="X36" s="127"/>
      <c r="Y36" s="127"/>
    </row>
    <row r="37" spans="1:196">
      <c r="B37" s="153"/>
      <c r="C37" s="135" t="s">
        <v>49</v>
      </c>
      <c r="D37" s="141">
        <f>PRODUCT(D35,1000)</f>
        <v>8.6451499999999992</v>
      </c>
      <c r="E37" s="152"/>
      <c r="F37" s="135" t="s">
        <v>49</v>
      </c>
      <c r="G37" s="141">
        <f>PRODUCT(G35,1000)</f>
        <v>8.1672727272727279</v>
      </c>
      <c r="H37" s="151"/>
      <c r="I37" s="127"/>
      <c r="J37" s="127"/>
      <c r="K37" s="127"/>
      <c r="L37" s="127"/>
      <c r="M37" s="127"/>
      <c r="N37" s="127"/>
      <c r="O37" s="127"/>
      <c r="P37" s="127"/>
      <c r="Q37" s="127"/>
      <c r="R37" s="127"/>
      <c r="S37" s="127"/>
      <c r="T37" s="127"/>
      <c r="U37" s="127"/>
      <c r="V37" s="127"/>
      <c r="W37" s="127"/>
      <c r="X37" s="127"/>
      <c r="Y37" s="127"/>
    </row>
    <row r="38" spans="1:196">
      <c r="B38" s="153"/>
      <c r="C38" s="133"/>
      <c r="D38" s="132"/>
      <c r="E38" s="406"/>
      <c r="F38" s="133"/>
      <c r="G38" s="132"/>
      <c r="H38" s="405"/>
      <c r="I38" s="127"/>
      <c r="J38" s="127"/>
      <c r="K38" s="127"/>
      <c r="L38" s="127"/>
      <c r="M38" s="127"/>
      <c r="N38" s="127"/>
      <c r="O38" s="127"/>
      <c r="P38" s="127"/>
      <c r="Q38" s="127"/>
      <c r="R38" s="127"/>
      <c r="S38" s="127"/>
      <c r="T38" s="127"/>
      <c r="U38" s="127"/>
      <c r="V38" s="127"/>
      <c r="W38" s="127"/>
      <c r="X38" s="127"/>
      <c r="Y38" s="127"/>
    </row>
    <row r="39" spans="1:196">
      <c r="B39" s="407"/>
      <c r="C39" s="135" t="s">
        <v>50</v>
      </c>
      <c r="D39" s="158">
        <f>(D31*D15)+D25</f>
        <v>1659.8687999999997</v>
      </c>
      <c r="E39" s="406"/>
      <c r="F39" s="135" t="s">
        <v>50</v>
      </c>
      <c r="G39" s="158">
        <f>(G31*G15)+G25</f>
        <v>1854.2975999999999</v>
      </c>
      <c r="H39" s="405"/>
      <c r="I39" s="127"/>
      <c r="J39" s="127"/>
      <c r="K39" s="127"/>
      <c r="L39" s="127"/>
      <c r="M39" s="127"/>
      <c r="N39" s="127"/>
      <c r="O39" s="127"/>
      <c r="P39" s="127"/>
      <c r="Q39" s="127"/>
      <c r="R39" s="127"/>
      <c r="S39" s="127"/>
      <c r="T39" s="127"/>
      <c r="U39" s="127"/>
      <c r="V39" s="127"/>
      <c r="W39" s="127"/>
      <c r="X39" s="127"/>
      <c r="Y39" s="127"/>
    </row>
    <row r="40" spans="1:196" ht="13.9" thickBot="1">
      <c r="B40" s="407"/>
      <c r="C40" s="165"/>
      <c r="D40" s="164"/>
      <c r="E40" s="406"/>
      <c r="F40" s="165"/>
      <c r="G40" s="164"/>
      <c r="H40" s="405"/>
      <c r="I40" s="127"/>
      <c r="J40" s="127"/>
      <c r="K40" s="127"/>
      <c r="L40" s="127"/>
      <c r="M40" s="127"/>
      <c r="N40" s="127"/>
      <c r="O40" s="127"/>
      <c r="P40" s="127"/>
      <c r="Q40" s="127"/>
      <c r="R40" s="127"/>
      <c r="S40" s="127"/>
      <c r="T40" s="127"/>
      <c r="U40" s="127"/>
      <c r="V40" s="127"/>
      <c r="W40" s="127"/>
      <c r="X40" s="127"/>
      <c r="Y40" s="127"/>
    </row>
    <row r="41" spans="1:196" s="162" customFormat="1" ht="18" thickBot="1">
      <c r="A41" s="127"/>
      <c r="B41" s="407"/>
      <c r="C41" s="408" t="s">
        <v>51</v>
      </c>
      <c r="D41" s="409"/>
      <c r="E41" s="406"/>
      <c r="F41" s="408" t="s">
        <v>51</v>
      </c>
      <c r="G41" s="409"/>
      <c r="H41" s="405"/>
      <c r="I41" s="127"/>
      <c r="J41" s="127"/>
      <c r="K41" s="127"/>
      <c r="L41" s="127"/>
      <c r="M41" s="127"/>
      <c r="N41" s="127"/>
      <c r="O41" s="127"/>
      <c r="P41" s="127"/>
      <c r="Q41" s="127"/>
      <c r="R41" s="127"/>
      <c r="S41" s="127"/>
      <c r="T41" s="127"/>
      <c r="U41" s="127"/>
      <c r="V41" s="127"/>
      <c r="W41" s="127"/>
      <c r="X41" s="127"/>
      <c r="Y41" s="127"/>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c r="BE41" s="125"/>
      <c r="BF41" s="125"/>
      <c r="BG41" s="125"/>
      <c r="BH41" s="125"/>
      <c r="BI41" s="125"/>
      <c r="BJ41" s="125"/>
      <c r="BK41" s="125"/>
      <c r="BL41" s="125"/>
      <c r="BM41" s="125"/>
      <c r="BN41" s="125"/>
      <c r="BO41" s="125"/>
      <c r="BP41" s="125"/>
      <c r="BQ41" s="125"/>
      <c r="BR41" s="125"/>
      <c r="BS41" s="125"/>
      <c r="BT41" s="125"/>
      <c r="BU41" s="125"/>
      <c r="BV41" s="125"/>
      <c r="BW41" s="125"/>
      <c r="BX41" s="125"/>
      <c r="BY41" s="125"/>
      <c r="BZ41" s="125"/>
      <c r="CA41" s="125"/>
      <c r="CB41" s="125"/>
      <c r="CC41" s="125"/>
      <c r="CD41" s="125"/>
      <c r="CE41" s="125"/>
      <c r="CF41" s="125"/>
      <c r="CG41" s="125"/>
      <c r="CH41" s="125"/>
      <c r="CI41" s="125"/>
      <c r="CJ41" s="125"/>
      <c r="CK41" s="125"/>
      <c r="CL41" s="125"/>
      <c r="CM41" s="125"/>
      <c r="CN41" s="125"/>
      <c r="CO41" s="125"/>
      <c r="CP41" s="125"/>
      <c r="CQ41" s="125"/>
      <c r="CR41" s="125"/>
      <c r="CS41" s="125"/>
      <c r="CT41" s="125"/>
      <c r="CU41" s="125"/>
      <c r="CV41" s="125"/>
      <c r="CW41" s="125"/>
      <c r="CX41" s="125"/>
      <c r="CY41" s="125"/>
      <c r="CZ41" s="125"/>
      <c r="DA41" s="125"/>
      <c r="DB41" s="125"/>
      <c r="DC41" s="125"/>
      <c r="DD41" s="125"/>
      <c r="DE41" s="125"/>
      <c r="DF41" s="125"/>
      <c r="DG41" s="125"/>
      <c r="DH41" s="125"/>
      <c r="DI41" s="125"/>
      <c r="DJ41" s="125"/>
      <c r="DK41" s="125"/>
      <c r="DL41" s="125"/>
      <c r="DM41" s="125"/>
      <c r="DN41" s="125"/>
      <c r="DO41" s="125"/>
      <c r="DP41" s="125"/>
      <c r="DQ41" s="125"/>
      <c r="DR41" s="125"/>
      <c r="DS41" s="125"/>
      <c r="DT41" s="125"/>
      <c r="DU41" s="125"/>
      <c r="DV41" s="125"/>
      <c r="DW41" s="125"/>
      <c r="DX41" s="125"/>
      <c r="DY41" s="125"/>
      <c r="DZ41" s="125"/>
      <c r="EA41" s="125"/>
      <c r="EB41" s="125"/>
      <c r="EC41" s="125"/>
      <c r="ED41" s="125"/>
      <c r="EE41" s="125"/>
      <c r="EF41" s="125"/>
      <c r="EG41" s="125"/>
      <c r="EH41" s="125"/>
      <c r="EI41" s="125"/>
      <c r="EJ41" s="125"/>
      <c r="EK41" s="125"/>
      <c r="EL41" s="125"/>
      <c r="EM41" s="125"/>
      <c r="EN41" s="125"/>
      <c r="EO41" s="125"/>
      <c r="EP41" s="125"/>
      <c r="EQ41" s="125"/>
      <c r="ER41" s="125"/>
      <c r="ES41" s="125"/>
      <c r="ET41" s="125"/>
      <c r="EU41" s="125"/>
      <c r="EV41" s="125"/>
      <c r="EW41" s="125"/>
      <c r="EX41" s="125"/>
      <c r="EY41" s="125"/>
      <c r="EZ41" s="125"/>
      <c r="FA41" s="125"/>
      <c r="FB41" s="125"/>
      <c r="FC41" s="125"/>
      <c r="FD41" s="125"/>
      <c r="FE41" s="125"/>
      <c r="FF41" s="125"/>
      <c r="FG41" s="125"/>
      <c r="FH41" s="125"/>
      <c r="FI41" s="125"/>
      <c r="FJ41" s="125"/>
      <c r="FK41" s="125"/>
      <c r="FL41" s="125"/>
      <c r="FM41" s="125"/>
      <c r="FN41" s="125"/>
      <c r="FO41" s="125"/>
      <c r="FP41" s="125"/>
      <c r="FQ41" s="125"/>
      <c r="FR41" s="125"/>
      <c r="FS41" s="125"/>
      <c r="FT41" s="125"/>
      <c r="FU41" s="125"/>
      <c r="FV41" s="125"/>
      <c r="FW41" s="125"/>
      <c r="FX41" s="125"/>
      <c r="FY41" s="125"/>
      <c r="FZ41" s="125"/>
      <c r="GA41" s="125"/>
      <c r="GB41" s="125"/>
      <c r="GC41" s="125"/>
      <c r="GD41" s="125"/>
      <c r="GE41" s="125"/>
      <c r="GF41" s="125"/>
      <c r="GG41" s="125"/>
      <c r="GH41" s="125"/>
      <c r="GI41" s="125"/>
      <c r="GJ41" s="125"/>
      <c r="GK41" s="125"/>
      <c r="GL41" s="125"/>
      <c r="GM41" s="125"/>
      <c r="GN41" s="163"/>
    </row>
    <row r="42" spans="1:196" ht="13.9" thickBot="1">
      <c r="B42" s="407"/>
      <c r="C42" s="133"/>
      <c r="D42" s="132"/>
      <c r="E42" s="406"/>
      <c r="F42" s="133"/>
      <c r="G42" s="132"/>
      <c r="H42" s="405"/>
      <c r="I42" s="127"/>
      <c r="J42" s="127"/>
      <c r="K42" s="127"/>
      <c r="L42" s="127"/>
      <c r="M42" s="127"/>
      <c r="N42" s="127"/>
      <c r="O42" s="127"/>
      <c r="P42" s="127"/>
      <c r="Q42" s="127"/>
      <c r="R42" s="127"/>
      <c r="S42" s="127"/>
      <c r="T42" s="127"/>
      <c r="U42" s="127"/>
      <c r="V42" s="127"/>
      <c r="W42" s="127"/>
      <c r="X42" s="127"/>
      <c r="Y42" s="127"/>
    </row>
    <row r="43" spans="1:196" ht="15.4" thickBot="1">
      <c r="B43" s="407"/>
      <c r="C43" s="140" t="s">
        <v>52</v>
      </c>
      <c r="D43" s="161">
        <v>0.15</v>
      </c>
      <c r="E43" s="152"/>
      <c r="F43" s="140" t="s">
        <v>52</v>
      </c>
      <c r="G43" s="161">
        <v>0.15</v>
      </c>
      <c r="H43" s="151"/>
      <c r="I43" s="127"/>
      <c r="J43" s="127"/>
      <c r="K43" s="127"/>
      <c r="L43" s="127"/>
      <c r="M43" s="127"/>
      <c r="N43" s="127"/>
      <c r="O43" s="127"/>
      <c r="P43" s="127"/>
      <c r="Q43" s="127"/>
      <c r="R43" s="127"/>
      <c r="S43" s="127"/>
      <c r="T43" s="127"/>
      <c r="U43" s="127"/>
      <c r="V43" s="127"/>
      <c r="W43" s="127"/>
      <c r="X43" s="127"/>
      <c r="Y43" s="127"/>
    </row>
    <row r="44" spans="1:196">
      <c r="B44" s="153"/>
      <c r="C44" s="133"/>
      <c r="D44" s="132"/>
      <c r="E44" s="152"/>
      <c r="F44" s="133"/>
      <c r="G44" s="132"/>
      <c r="H44" s="151"/>
      <c r="I44" s="127"/>
      <c r="J44" s="127"/>
      <c r="K44" s="127"/>
      <c r="L44" s="127"/>
      <c r="M44" s="127"/>
      <c r="N44" s="127"/>
      <c r="O44" s="127"/>
      <c r="P44" s="127"/>
      <c r="Q44" s="127"/>
      <c r="R44" s="127"/>
      <c r="S44" s="127"/>
      <c r="T44" s="127"/>
      <c r="U44" s="127"/>
      <c r="V44" s="127"/>
      <c r="W44" s="127"/>
      <c r="X44" s="127"/>
      <c r="Y44" s="127"/>
    </row>
    <row r="45" spans="1:196">
      <c r="A45" s="154"/>
      <c r="B45" s="153"/>
      <c r="C45" s="160" t="s">
        <v>53</v>
      </c>
      <c r="D45" s="158">
        <f>D33*(D43+1)</f>
        <v>39.767689999999995</v>
      </c>
      <c r="E45" s="152"/>
      <c r="F45" s="160" t="s">
        <v>53</v>
      </c>
      <c r="G45" s="158">
        <f>G33*(G43+1)</f>
        <v>44.425879999999999</v>
      </c>
      <c r="H45" s="151"/>
      <c r="I45" s="127"/>
      <c r="J45" s="127"/>
      <c r="K45" s="127"/>
      <c r="L45" s="127"/>
      <c r="M45" s="127"/>
      <c r="N45" s="127"/>
      <c r="O45" s="127"/>
      <c r="P45" s="127"/>
      <c r="Q45" s="127"/>
      <c r="R45" s="127"/>
      <c r="S45" s="127"/>
      <c r="T45" s="127"/>
      <c r="U45" s="127"/>
      <c r="V45" s="127"/>
      <c r="W45" s="127"/>
      <c r="X45" s="127"/>
      <c r="Y45" s="127"/>
    </row>
    <row r="46" spans="1:196">
      <c r="A46" s="154"/>
      <c r="B46" s="153"/>
      <c r="C46" s="133"/>
      <c r="D46" s="132"/>
      <c r="E46" s="152"/>
      <c r="F46" s="133"/>
      <c r="G46" s="132"/>
      <c r="H46" s="151"/>
      <c r="I46" s="127"/>
      <c r="J46" s="127"/>
      <c r="K46" s="127"/>
      <c r="L46" s="127"/>
      <c r="M46" s="127"/>
      <c r="N46" s="127"/>
      <c r="O46" s="127"/>
      <c r="P46" s="127"/>
      <c r="Q46" s="127"/>
      <c r="R46" s="127"/>
      <c r="S46" s="127"/>
      <c r="T46" s="127"/>
      <c r="U46" s="127"/>
      <c r="V46" s="127"/>
      <c r="W46" s="127"/>
      <c r="X46" s="127"/>
      <c r="Y46" s="127"/>
    </row>
    <row r="47" spans="1:196" ht="15">
      <c r="A47" s="154"/>
      <c r="B47" s="153"/>
      <c r="C47" s="135" t="s">
        <v>54</v>
      </c>
      <c r="D47" s="159">
        <f>D45/D11</f>
        <v>9.9419224999999986E-3</v>
      </c>
      <c r="E47" s="152"/>
      <c r="F47" s="135" t="s">
        <v>54</v>
      </c>
      <c r="G47" s="159">
        <f>G45/G11</f>
        <v>9.3923636363636362E-3</v>
      </c>
      <c r="H47" s="151"/>
      <c r="I47" s="127"/>
      <c r="J47" s="127"/>
      <c r="K47" s="127"/>
      <c r="L47" s="127"/>
      <c r="M47" s="127"/>
      <c r="N47" s="127"/>
      <c r="O47" s="127"/>
      <c r="P47" s="127"/>
      <c r="Q47" s="127"/>
      <c r="R47" s="127"/>
      <c r="S47" s="127"/>
      <c r="T47" s="127"/>
      <c r="U47" s="127"/>
      <c r="V47" s="127"/>
      <c r="W47" s="127"/>
      <c r="X47" s="127"/>
      <c r="Y47" s="127"/>
    </row>
    <row r="48" spans="1:196">
      <c r="A48" s="154"/>
      <c r="B48" s="153"/>
      <c r="C48" s="133"/>
      <c r="D48" s="132"/>
      <c r="E48" s="152"/>
      <c r="F48" s="133"/>
      <c r="G48" s="132"/>
      <c r="H48" s="151"/>
      <c r="I48" s="127"/>
      <c r="J48" s="127"/>
      <c r="K48" s="127"/>
      <c r="L48" s="127"/>
      <c r="M48" s="127"/>
      <c r="N48" s="127"/>
      <c r="O48" s="127"/>
      <c r="P48" s="127"/>
      <c r="Q48" s="127"/>
      <c r="R48" s="127"/>
      <c r="S48" s="127"/>
      <c r="T48" s="127"/>
      <c r="U48" s="127"/>
      <c r="V48" s="127"/>
      <c r="W48" s="127"/>
      <c r="X48" s="127"/>
      <c r="Y48" s="127"/>
    </row>
    <row r="49" spans="1:196" s="156" customFormat="1">
      <c r="A49" s="154"/>
      <c r="B49" s="153"/>
      <c r="C49" s="135" t="s">
        <v>55</v>
      </c>
      <c r="D49" s="158">
        <f>PRODUCT(D47,1000)</f>
        <v>9.9419224999999987</v>
      </c>
      <c r="E49" s="152"/>
      <c r="F49" s="135" t="s">
        <v>55</v>
      </c>
      <c r="G49" s="158">
        <f>PRODUCT(G47,1000)</f>
        <v>9.3923636363636369</v>
      </c>
      <c r="H49" s="151"/>
      <c r="I49" s="127"/>
      <c r="J49" s="127"/>
      <c r="K49" s="127"/>
      <c r="L49" s="127"/>
      <c r="M49" s="127"/>
      <c r="N49" s="127"/>
      <c r="O49" s="127"/>
      <c r="P49" s="127"/>
      <c r="Q49" s="127"/>
      <c r="R49" s="127"/>
      <c r="S49" s="127"/>
      <c r="T49" s="127"/>
      <c r="U49" s="127"/>
      <c r="V49" s="127"/>
      <c r="W49" s="127"/>
      <c r="X49" s="127"/>
      <c r="Y49" s="127"/>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c r="BR49" s="125"/>
      <c r="BS49" s="125"/>
      <c r="BT49" s="125"/>
      <c r="BU49" s="125"/>
      <c r="BV49" s="125"/>
      <c r="BW49" s="125"/>
      <c r="BX49" s="125"/>
      <c r="BY49" s="125"/>
      <c r="BZ49" s="125"/>
      <c r="CA49" s="125"/>
      <c r="CB49" s="125"/>
      <c r="CC49" s="125"/>
      <c r="CD49" s="125"/>
      <c r="CE49" s="125"/>
      <c r="CF49" s="125"/>
      <c r="CG49" s="125"/>
      <c r="CH49" s="125"/>
      <c r="CI49" s="125"/>
      <c r="CJ49" s="125"/>
      <c r="CK49" s="125"/>
      <c r="CL49" s="125"/>
      <c r="CM49" s="125"/>
      <c r="CN49" s="125"/>
      <c r="CO49" s="125"/>
      <c r="CP49" s="125"/>
      <c r="CQ49" s="125"/>
      <c r="CR49" s="125"/>
      <c r="CS49" s="125"/>
      <c r="CT49" s="125"/>
      <c r="CU49" s="125"/>
      <c r="CV49" s="125"/>
      <c r="CW49" s="125"/>
      <c r="CX49" s="125"/>
      <c r="CY49" s="125"/>
      <c r="CZ49" s="125"/>
      <c r="DA49" s="125"/>
      <c r="DB49" s="125"/>
      <c r="DC49" s="125"/>
      <c r="DD49" s="125"/>
      <c r="DE49" s="125"/>
      <c r="DF49" s="125"/>
      <c r="DG49" s="125"/>
      <c r="DH49" s="125"/>
      <c r="DI49" s="125"/>
      <c r="DJ49" s="125"/>
      <c r="DK49" s="125"/>
      <c r="DL49" s="125"/>
      <c r="DM49" s="125"/>
      <c r="DN49" s="125"/>
      <c r="DO49" s="125"/>
      <c r="DP49" s="125"/>
      <c r="DQ49" s="125"/>
      <c r="DR49" s="125"/>
      <c r="DS49" s="125"/>
      <c r="DT49" s="125"/>
      <c r="DU49" s="125"/>
      <c r="DV49" s="125"/>
      <c r="DW49" s="125"/>
      <c r="DX49" s="125"/>
      <c r="DY49" s="125"/>
      <c r="DZ49" s="125"/>
      <c r="EA49" s="125"/>
      <c r="EB49" s="125"/>
      <c r="EC49" s="125"/>
      <c r="ED49" s="125"/>
      <c r="EE49" s="125"/>
      <c r="EF49" s="125"/>
      <c r="EG49" s="125"/>
      <c r="EH49" s="125"/>
      <c r="EI49" s="125"/>
      <c r="EJ49" s="125"/>
      <c r="EK49" s="125"/>
      <c r="EL49" s="125"/>
      <c r="EM49" s="125"/>
      <c r="EN49" s="125"/>
      <c r="EO49" s="125"/>
      <c r="EP49" s="125"/>
      <c r="EQ49" s="125"/>
      <c r="ER49" s="125"/>
      <c r="ES49" s="125"/>
      <c r="ET49" s="125"/>
      <c r="EU49" s="125"/>
      <c r="EV49" s="125"/>
      <c r="EW49" s="125"/>
      <c r="EX49" s="125"/>
      <c r="EY49" s="125"/>
      <c r="EZ49" s="125"/>
      <c r="FA49" s="125"/>
      <c r="FB49" s="125"/>
      <c r="FC49" s="125"/>
      <c r="FD49" s="125"/>
      <c r="FE49" s="125"/>
      <c r="FF49" s="125"/>
      <c r="FG49" s="125"/>
      <c r="FH49" s="125"/>
      <c r="FI49" s="125"/>
      <c r="FJ49" s="125"/>
      <c r="FK49" s="125"/>
      <c r="FL49" s="125"/>
      <c r="FM49" s="125"/>
      <c r="FN49" s="125"/>
      <c r="FO49" s="125"/>
      <c r="FP49" s="125"/>
      <c r="FQ49" s="125"/>
      <c r="FR49" s="125"/>
      <c r="FS49" s="125"/>
      <c r="FT49" s="125"/>
      <c r="FU49" s="125"/>
      <c r="FV49" s="125"/>
      <c r="FW49" s="125"/>
      <c r="FX49" s="125"/>
      <c r="FY49" s="125"/>
      <c r="FZ49" s="125"/>
      <c r="GA49" s="125"/>
      <c r="GB49" s="125"/>
      <c r="GC49" s="125"/>
      <c r="GD49" s="125"/>
      <c r="GE49" s="125"/>
      <c r="GF49" s="125"/>
      <c r="GG49" s="125"/>
      <c r="GH49" s="125"/>
      <c r="GI49" s="125"/>
      <c r="GJ49" s="125"/>
      <c r="GK49" s="125"/>
      <c r="GL49" s="125"/>
      <c r="GM49" s="125"/>
      <c r="GN49" s="157"/>
    </row>
    <row r="50" spans="1:196">
      <c r="A50" s="154"/>
      <c r="B50" s="153"/>
      <c r="C50" s="133"/>
      <c r="D50" s="132"/>
      <c r="E50" s="152"/>
      <c r="F50" s="133"/>
      <c r="G50" s="132"/>
      <c r="H50" s="151"/>
      <c r="I50" s="127"/>
      <c r="J50" s="127"/>
      <c r="K50" s="127"/>
      <c r="L50" s="127"/>
      <c r="M50" s="127"/>
      <c r="N50" s="127"/>
      <c r="O50" s="127"/>
      <c r="P50" s="127"/>
      <c r="Q50" s="127"/>
      <c r="R50" s="127"/>
      <c r="S50" s="127"/>
      <c r="T50" s="127"/>
      <c r="U50" s="127"/>
      <c r="V50" s="127"/>
      <c r="W50" s="127"/>
      <c r="X50" s="127"/>
      <c r="Y50" s="127"/>
    </row>
    <row r="51" spans="1:196">
      <c r="A51" s="154"/>
      <c r="B51" s="153"/>
      <c r="C51" s="135" t="s">
        <v>56</v>
      </c>
      <c r="D51" s="155">
        <f>D45*D15</f>
        <v>1908.8491199999999</v>
      </c>
      <c r="E51" s="152"/>
      <c r="F51" s="135" t="s">
        <v>56</v>
      </c>
      <c r="G51" s="155">
        <f>G45*G15</f>
        <v>2132.4422399999999</v>
      </c>
      <c r="H51" s="151"/>
      <c r="I51" s="127"/>
      <c r="J51" s="127"/>
      <c r="K51" s="127"/>
      <c r="L51" s="127"/>
      <c r="M51" s="127"/>
      <c r="N51" s="127"/>
      <c r="O51" s="127"/>
      <c r="P51" s="127"/>
      <c r="Q51" s="127"/>
      <c r="R51" s="127"/>
      <c r="S51" s="127"/>
      <c r="T51" s="127"/>
      <c r="U51" s="127"/>
      <c r="V51" s="127"/>
      <c r="W51" s="127"/>
      <c r="X51" s="127"/>
      <c r="Y51" s="127"/>
    </row>
    <row r="52" spans="1:196">
      <c r="A52" s="154"/>
      <c r="B52" s="153"/>
      <c r="C52" s="133"/>
      <c r="D52" s="137"/>
      <c r="E52" s="152"/>
      <c r="F52" s="133"/>
      <c r="G52" s="137"/>
      <c r="H52" s="151"/>
      <c r="I52" s="127"/>
      <c r="J52" s="127"/>
      <c r="K52" s="127"/>
      <c r="L52" s="127"/>
      <c r="M52" s="127"/>
      <c r="N52" s="127"/>
      <c r="O52" s="127"/>
      <c r="P52" s="127"/>
      <c r="Q52" s="127"/>
      <c r="R52" s="127"/>
      <c r="S52" s="127"/>
      <c r="T52" s="127"/>
      <c r="U52" s="127"/>
      <c r="V52" s="127"/>
      <c r="W52" s="127"/>
      <c r="X52" s="127"/>
      <c r="Y52" s="127"/>
    </row>
    <row r="53" spans="1:196">
      <c r="B53" s="153"/>
      <c r="C53" s="396" t="s">
        <v>57</v>
      </c>
      <c r="D53" s="397"/>
      <c r="E53" s="152"/>
      <c r="F53" s="396" t="s">
        <v>57</v>
      </c>
      <c r="G53" s="397"/>
      <c r="H53" s="151"/>
      <c r="I53" s="127"/>
      <c r="J53" s="127"/>
      <c r="K53" s="127"/>
      <c r="L53" s="127"/>
      <c r="M53" s="127"/>
      <c r="N53" s="127"/>
      <c r="O53" s="127"/>
      <c r="P53" s="127"/>
      <c r="Q53" s="127"/>
      <c r="R53" s="127"/>
      <c r="S53" s="127"/>
      <c r="T53" s="127"/>
      <c r="U53" s="127"/>
      <c r="V53" s="127"/>
      <c r="W53" s="127"/>
      <c r="X53" s="127"/>
      <c r="Y53" s="127"/>
    </row>
    <row r="54" spans="1:196" ht="13.9" thickBot="1">
      <c r="B54" s="153"/>
      <c r="C54" s="398"/>
      <c r="D54" s="399"/>
      <c r="E54" s="152"/>
      <c r="F54" s="398"/>
      <c r="G54" s="399"/>
      <c r="H54" s="151"/>
      <c r="I54" s="127"/>
      <c r="J54" s="127"/>
      <c r="K54" s="127"/>
      <c r="L54" s="127"/>
      <c r="M54" s="127"/>
      <c r="N54" s="127"/>
      <c r="O54" s="127"/>
      <c r="P54" s="127"/>
      <c r="Q54" s="127"/>
      <c r="R54" s="127"/>
      <c r="S54" s="127"/>
      <c r="T54" s="127"/>
      <c r="U54" s="127"/>
      <c r="V54" s="127"/>
      <c r="W54" s="127"/>
      <c r="X54" s="127"/>
      <c r="Y54" s="127"/>
    </row>
    <row r="55" spans="1:196" ht="13.9" thickBot="1">
      <c r="B55" s="400"/>
      <c r="C55" s="401"/>
      <c r="D55" s="401"/>
      <c r="E55" s="401"/>
      <c r="F55" s="401"/>
      <c r="G55" s="401"/>
      <c r="H55" s="402"/>
      <c r="I55" s="127"/>
      <c r="J55" s="127"/>
      <c r="K55" s="127"/>
      <c r="L55" s="127"/>
      <c r="M55" s="127"/>
      <c r="N55" s="127"/>
      <c r="O55" s="127"/>
      <c r="P55" s="127"/>
      <c r="Q55" s="127"/>
      <c r="R55" s="127"/>
      <c r="S55" s="127"/>
      <c r="T55" s="127"/>
      <c r="U55" s="127"/>
      <c r="V55" s="127"/>
      <c r="W55" s="127"/>
      <c r="X55" s="127"/>
      <c r="Y55" s="127"/>
    </row>
    <row r="56" spans="1:196" s="127" customFormat="1" ht="13.9" thickTop="1">
      <c r="B56" s="128"/>
      <c r="C56" s="128"/>
      <c r="D56" s="128"/>
      <c r="E56" s="128"/>
      <c r="F56" s="128"/>
      <c r="G56" s="128"/>
      <c r="H56" s="128"/>
    </row>
    <row r="57" spans="1:196" s="127" customFormat="1">
      <c r="B57" s="128"/>
      <c r="C57" s="128"/>
      <c r="D57" s="128"/>
      <c r="E57" s="128"/>
      <c r="F57" s="128"/>
      <c r="G57" s="128"/>
      <c r="H57" s="128"/>
    </row>
    <row r="58" spans="1:196" s="127" customFormat="1">
      <c r="C58" s="128"/>
      <c r="D58" s="128"/>
      <c r="E58" s="128"/>
      <c r="F58" s="128"/>
      <c r="G58" s="128"/>
    </row>
    <row r="59" spans="1:196" s="127" customFormat="1">
      <c r="C59" s="128"/>
      <c r="D59" s="128"/>
      <c r="E59" s="128"/>
      <c r="F59" s="128"/>
      <c r="G59" s="128"/>
    </row>
    <row r="60" spans="1:196" s="127" customFormat="1">
      <c r="C60" s="128"/>
      <c r="D60" s="128"/>
      <c r="E60" s="128"/>
      <c r="F60" s="128"/>
      <c r="G60" s="128"/>
    </row>
    <row r="61" spans="1:196" s="127" customFormat="1">
      <c r="C61" s="128"/>
      <c r="D61" s="128"/>
      <c r="E61" s="128"/>
      <c r="F61" s="128"/>
      <c r="G61" s="128"/>
    </row>
    <row r="62" spans="1:196" s="127" customFormat="1">
      <c r="C62" s="128"/>
      <c r="D62" s="128"/>
      <c r="E62" s="128"/>
      <c r="F62" s="128"/>
      <c r="G62" s="128"/>
    </row>
    <row r="63" spans="1:196" s="127" customFormat="1">
      <c r="C63" s="128"/>
      <c r="D63" s="128"/>
      <c r="E63" s="128"/>
      <c r="F63" s="128"/>
      <c r="G63" s="128"/>
    </row>
    <row r="64" spans="1:196">
      <c r="B64" s="127"/>
      <c r="C64" s="128"/>
      <c r="D64" s="128"/>
      <c r="E64" s="128"/>
      <c r="F64" s="128"/>
      <c r="G64" s="128"/>
      <c r="H64" s="127"/>
      <c r="I64" s="127"/>
      <c r="J64" s="127"/>
      <c r="K64" s="127"/>
      <c r="L64" s="127"/>
      <c r="M64" s="127"/>
      <c r="N64" s="127"/>
      <c r="O64" s="127"/>
      <c r="P64" s="127"/>
      <c r="Q64" s="127"/>
      <c r="R64" s="127"/>
      <c r="S64" s="127"/>
      <c r="T64" s="127"/>
      <c r="U64" s="127"/>
      <c r="V64" s="127"/>
      <c r="W64" s="127"/>
      <c r="X64" s="127"/>
      <c r="Y64" s="127"/>
    </row>
    <row r="65" spans="2:31">
      <c r="B65" s="127"/>
      <c r="C65" s="128"/>
      <c r="D65" s="128"/>
      <c r="E65" s="128"/>
      <c r="F65" s="128"/>
      <c r="G65" s="128"/>
      <c r="H65" s="127"/>
      <c r="I65" s="127"/>
      <c r="J65" s="127"/>
      <c r="K65" s="127"/>
      <c r="L65" s="127"/>
      <c r="M65" s="127"/>
      <c r="N65" s="127"/>
      <c r="O65" s="127"/>
      <c r="P65" s="127"/>
      <c r="Q65" s="127"/>
      <c r="R65" s="127"/>
      <c r="S65" s="127"/>
      <c r="T65" s="127"/>
      <c r="U65" s="127"/>
      <c r="V65" s="127"/>
      <c r="W65" s="127"/>
      <c r="X65" s="127"/>
      <c r="Y65" s="127"/>
    </row>
    <row r="66" spans="2:31">
      <c r="B66" s="127"/>
      <c r="C66" s="128"/>
      <c r="D66" s="128"/>
      <c r="E66" s="128"/>
      <c r="F66" s="128"/>
      <c r="G66" s="128"/>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row>
    <row r="67" spans="2:31">
      <c r="B67" s="127"/>
      <c r="C67" s="128"/>
      <c r="D67" s="128"/>
      <c r="E67" s="128"/>
      <c r="F67" s="128"/>
      <c r="G67" s="128"/>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row>
    <row r="68" spans="2:31">
      <c r="B68" s="127"/>
      <c r="C68" s="128"/>
      <c r="D68" s="128"/>
      <c r="E68" s="128"/>
      <c r="F68" s="128"/>
      <c r="G68" s="128"/>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c r="AE68" s="127"/>
    </row>
    <row r="69" spans="2:31">
      <c r="B69" s="127"/>
      <c r="C69" s="128"/>
      <c r="D69" s="128"/>
      <c r="E69" s="128"/>
      <c r="F69" s="128"/>
      <c r="G69" s="128"/>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row>
    <row r="70" spans="2:31">
      <c r="B70" s="127"/>
      <c r="C70" s="128"/>
      <c r="D70" s="128"/>
      <c r="E70" s="128"/>
      <c r="F70" s="128"/>
      <c r="G70" s="128"/>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row>
    <row r="71" spans="2:31">
      <c r="B71" s="127"/>
      <c r="C71" s="128"/>
      <c r="D71" s="128"/>
      <c r="E71" s="128"/>
      <c r="F71" s="128"/>
      <c r="G71" s="128"/>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row>
    <row r="72" spans="2:31">
      <c r="B72" s="127"/>
      <c r="C72" s="128"/>
      <c r="D72" s="128"/>
      <c r="E72" s="128"/>
      <c r="F72" s="128"/>
      <c r="G72" s="128"/>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row>
    <row r="73" spans="2:31">
      <c r="B73" s="127"/>
      <c r="C73" s="128"/>
      <c r="D73" s="128"/>
      <c r="E73" s="128"/>
      <c r="F73" s="128"/>
      <c r="G73" s="128"/>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row>
    <row r="74" spans="2:31">
      <c r="B74" s="127"/>
      <c r="C74" s="128"/>
      <c r="D74" s="128"/>
      <c r="E74" s="128"/>
      <c r="F74" s="128"/>
      <c r="G74" s="128"/>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row>
    <row r="75" spans="2:31">
      <c r="B75" s="127"/>
      <c r="C75" s="128"/>
      <c r="D75" s="128"/>
      <c r="E75" s="128"/>
      <c r="F75" s="128"/>
      <c r="G75" s="128"/>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row>
    <row r="76" spans="2:31">
      <c r="B76" s="127"/>
      <c r="C76" s="128"/>
      <c r="D76" s="128"/>
      <c r="E76" s="128"/>
      <c r="F76" s="128"/>
      <c r="G76" s="128"/>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row>
    <row r="77" spans="2:31">
      <c r="B77" s="127"/>
      <c r="C77" s="128"/>
      <c r="D77" s="128"/>
      <c r="E77" s="128"/>
      <c r="F77" s="128"/>
      <c r="G77" s="128"/>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row>
    <row r="78" spans="2:31">
      <c r="B78" s="127"/>
      <c r="C78" s="128"/>
      <c r="D78" s="128"/>
      <c r="E78" s="128"/>
      <c r="F78" s="128"/>
      <c r="G78" s="128"/>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row>
    <row r="79" spans="2:31">
      <c r="B79" s="127"/>
      <c r="C79" s="128"/>
      <c r="D79" s="128"/>
      <c r="E79" s="128"/>
      <c r="F79" s="128"/>
      <c r="G79" s="128"/>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row>
    <row r="80" spans="2:31">
      <c r="B80" s="127"/>
      <c r="C80" s="128"/>
      <c r="D80" s="128"/>
      <c r="E80" s="128"/>
      <c r="F80" s="128"/>
      <c r="G80" s="128"/>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row>
    <row r="81" spans="2:31">
      <c r="B81" s="127"/>
      <c r="C81" s="128"/>
      <c r="D81" s="128"/>
      <c r="E81" s="128"/>
      <c r="F81" s="128"/>
      <c r="G81" s="128"/>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row>
    <row r="82" spans="2:31">
      <c r="B82" s="127"/>
      <c r="C82" s="128"/>
      <c r="D82" s="128"/>
      <c r="E82" s="128"/>
      <c r="F82" s="128"/>
      <c r="G82" s="128"/>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row>
    <row r="83" spans="2:31">
      <c r="B83" s="127"/>
      <c r="C83" s="128"/>
      <c r="D83" s="128"/>
      <c r="E83" s="128"/>
      <c r="F83" s="128"/>
      <c r="G83" s="128"/>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row>
    <row r="84" spans="2:31">
      <c r="B84" s="127"/>
      <c r="C84" s="128"/>
      <c r="D84" s="128"/>
      <c r="E84" s="128"/>
      <c r="F84" s="128"/>
      <c r="G84" s="128"/>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row>
    <row r="85" spans="2:31">
      <c r="B85" s="127"/>
      <c r="C85" s="128"/>
      <c r="D85" s="128"/>
      <c r="E85" s="128"/>
      <c r="F85" s="128"/>
      <c r="G85" s="128"/>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row>
    <row r="86" spans="2:31">
      <c r="B86" s="127"/>
      <c r="C86" s="128"/>
      <c r="D86" s="128"/>
      <c r="E86" s="128"/>
      <c r="F86" s="128"/>
      <c r="G86" s="128"/>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row>
    <row r="87" spans="2:31">
      <c r="B87" s="127"/>
      <c r="C87" s="128"/>
      <c r="D87" s="128"/>
      <c r="E87" s="128"/>
      <c r="F87" s="128"/>
      <c r="G87" s="128"/>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row>
    <row r="88" spans="2:31">
      <c r="B88" s="127"/>
      <c r="C88" s="128"/>
      <c r="D88" s="128"/>
      <c r="E88" s="128"/>
      <c r="F88" s="128"/>
      <c r="G88" s="128"/>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row>
    <row r="89" spans="2:31">
      <c r="B89" s="127"/>
      <c r="C89" s="128"/>
      <c r="D89" s="128"/>
      <c r="E89" s="128"/>
      <c r="F89" s="128"/>
      <c r="G89" s="128"/>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row>
    <row r="90" spans="2:31">
      <c r="B90" s="127"/>
      <c r="C90" s="128"/>
      <c r="D90" s="128"/>
      <c r="E90" s="128"/>
      <c r="F90" s="128"/>
      <c r="G90" s="128"/>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row>
    <row r="91" spans="2:31">
      <c r="B91" s="127"/>
      <c r="C91" s="128"/>
      <c r="D91" s="128"/>
      <c r="E91" s="128"/>
      <c r="F91" s="128"/>
      <c r="G91" s="128"/>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row>
    <row r="92" spans="2:31">
      <c r="B92" s="127"/>
      <c r="C92" s="128"/>
      <c r="D92" s="128"/>
      <c r="E92" s="128"/>
      <c r="F92" s="128"/>
      <c r="G92" s="128"/>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row>
    <row r="93" spans="2:31">
      <c r="B93" s="127"/>
      <c r="C93" s="128"/>
      <c r="D93" s="128"/>
      <c r="E93" s="128"/>
      <c r="F93" s="128"/>
      <c r="G93" s="128"/>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row>
    <row r="94" spans="2:31">
      <c r="B94" s="127"/>
      <c r="C94" s="128"/>
      <c r="D94" s="128"/>
      <c r="E94" s="128"/>
      <c r="F94" s="128"/>
      <c r="G94" s="128"/>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row>
    <row r="95" spans="2:31">
      <c r="B95" s="127"/>
      <c r="C95" s="128"/>
      <c r="D95" s="128"/>
      <c r="E95" s="128"/>
      <c r="F95" s="128"/>
      <c r="G95" s="128"/>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row>
    <row r="96" spans="2:31">
      <c r="B96" s="127"/>
      <c r="C96" s="128"/>
      <c r="D96" s="128"/>
      <c r="E96" s="128"/>
      <c r="F96" s="128"/>
      <c r="G96" s="128"/>
      <c r="H96" s="127"/>
      <c r="I96" s="127"/>
      <c r="J96" s="127"/>
      <c r="K96" s="127"/>
      <c r="L96" s="127"/>
      <c r="M96" s="127"/>
      <c r="N96" s="127"/>
      <c r="O96" s="127"/>
      <c r="P96" s="127"/>
      <c r="Q96" s="127"/>
      <c r="R96" s="127"/>
      <c r="S96" s="127"/>
      <c r="T96" s="127"/>
      <c r="U96" s="127"/>
      <c r="V96" s="127"/>
      <c r="W96" s="127"/>
      <c r="X96" s="127"/>
      <c r="Y96" s="127"/>
      <c r="Z96" s="127"/>
      <c r="AA96" s="127"/>
      <c r="AB96" s="127"/>
      <c r="AC96" s="127"/>
      <c r="AD96" s="127"/>
      <c r="AE96" s="127"/>
    </row>
    <row r="97" spans="2:31">
      <c r="B97" s="127"/>
      <c r="C97" s="128"/>
      <c r="D97" s="128"/>
      <c r="E97" s="128"/>
      <c r="F97" s="128"/>
      <c r="G97" s="128"/>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row>
    <row r="98" spans="2:31">
      <c r="B98" s="127"/>
      <c r="C98" s="128"/>
      <c r="D98" s="128"/>
      <c r="E98" s="128"/>
      <c r="F98" s="128"/>
      <c r="G98" s="128"/>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row>
    <row r="99" spans="2:31">
      <c r="B99" s="127"/>
      <c r="C99" s="128"/>
      <c r="D99" s="128"/>
      <c r="E99" s="128"/>
      <c r="F99" s="128"/>
      <c r="G99" s="128"/>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row>
    <row r="100" spans="2:31" ht="15" customHeight="1">
      <c r="B100" s="127"/>
      <c r="C100" s="128"/>
      <c r="D100" s="128"/>
      <c r="E100" s="128"/>
      <c r="F100" s="128"/>
      <c r="G100" s="128"/>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row>
    <row r="101" spans="2:31" ht="15.75" customHeight="1">
      <c r="B101" s="127"/>
      <c r="C101" s="128"/>
      <c r="D101" s="128"/>
      <c r="E101" s="128"/>
      <c r="F101" s="128"/>
      <c r="G101" s="128"/>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row>
    <row r="102" spans="2:31">
      <c r="B102" s="127"/>
      <c r="C102" s="128"/>
      <c r="D102" s="128"/>
      <c r="E102" s="128"/>
      <c r="F102" s="128"/>
      <c r="G102" s="128"/>
      <c r="H102" s="127"/>
      <c r="I102" s="127"/>
      <c r="J102" s="127"/>
      <c r="K102" s="127"/>
      <c r="L102" s="127"/>
      <c r="M102" s="127"/>
      <c r="N102" s="127"/>
      <c r="O102" s="127"/>
      <c r="P102" s="127"/>
      <c r="Q102" s="127"/>
      <c r="R102" s="127"/>
      <c r="S102" s="127"/>
      <c r="T102" s="127"/>
      <c r="U102" s="127"/>
      <c r="V102" s="127"/>
      <c r="W102" s="127"/>
      <c r="X102" s="127"/>
      <c r="Y102" s="127"/>
      <c r="Z102" s="127"/>
      <c r="AA102" s="127"/>
      <c r="AB102" s="127"/>
      <c r="AC102" s="127"/>
      <c r="AD102" s="127"/>
      <c r="AE102" s="127"/>
    </row>
    <row r="103" spans="2:31">
      <c r="M103" s="127"/>
      <c r="N103" s="127"/>
      <c r="O103" s="127"/>
      <c r="P103" s="127"/>
      <c r="Q103" s="127"/>
      <c r="R103" s="127"/>
      <c r="S103" s="127"/>
      <c r="T103" s="127"/>
      <c r="U103" s="127"/>
      <c r="V103" s="127"/>
      <c r="W103" s="127"/>
      <c r="X103" s="127"/>
      <c r="Y103" s="127"/>
      <c r="Z103" s="127"/>
      <c r="AA103" s="127"/>
      <c r="AB103" s="127"/>
      <c r="AC103" s="127"/>
      <c r="AD103" s="127"/>
      <c r="AE103" s="127"/>
    </row>
    <row r="104" spans="2:31">
      <c r="M104" s="127"/>
      <c r="N104" s="127"/>
      <c r="O104" s="127"/>
      <c r="P104" s="127"/>
      <c r="Q104" s="127"/>
      <c r="R104" s="127"/>
      <c r="S104" s="127"/>
      <c r="T104" s="127"/>
      <c r="U104" s="127"/>
      <c r="V104" s="127"/>
      <c r="W104" s="127"/>
      <c r="X104" s="127"/>
      <c r="Y104" s="127"/>
      <c r="Z104" s="127"/>
      <c r="AA104" s="127"/>
      <c r="AB104" s="127"/>
      <c r="AC104" s="127"/>
      <c r="AD104" s="127"/>
      <c r="AE104" s="127"/>
    </row>
    <row r="105" spans="2:31">
      <c r="M105" s="127"/>
      <c r="N105" s="127"/>
      <c r="O105" s="127"/>
      <c r="P105" s="127"/>
      <c r="Q105" s="127"/>
      <c r="R105" s="127"/>
      <c r="S105" s="127"/>
      <c r="T105" s="127"/>
      <c r="U105" s="127"/>
      <c r="V105" s="127"/>
      <c r="W105" s="127"/>
      <c r="X105" s="127"/>
      <c r="Y105" s="127"/>
      <c r="Z105" s="127"/>
      <c r="AA105" s="127"/>
      <c r="AB105" s="127"/>
      <c r="AC105" s="127"/>
      <c r="AD105" s="127"/>
      <c r="AE105" s="127"/>
    </row>
    <row r="106" spans="2:31">
      <c r="M106" s="127"/>
      <c r="N106" s="127"/>
      <c r="O106" s="127"/>
      <c r="P106" s="127"/>
      <c r="Q106" s="127"/>
      <c r="R106" s="127"/>
      <c r="S106" s="127"/>
      <c r="T106" s="127"/>
      <c r="U106" s="127"/>
      <c r="V106" s="127"/>
      <c r="W106" s="127"/>
      <c r="X106" s="127"/>
      <c r="Y106" s="127"/>
      <c r="Z106" s="127"/>
      <c r="AA106" s="127"/>
      <c r="AB106" s="127"/>
      <c r="AC106" s="127"/>
      <c r="AD106" s="127"/>
      <c r="AE106" s="127"/>
    </row>
    <row r="107" spans="2:31">
      <c r="M107" s="127"/>
      <c r="N107" s="127"/>
      <c r="O107" s="127"/>
      <c r="P107" s="127"/>
      <c r="Q107" s="127"/>
      <c r="R107" s="127"/>
      <c r="S107" s="127"/>
      <c r="T107" s="127"/>
      <c r="U107" s="127"/>
      <c r="V107" s="127"/>
      <c r="W107" s="127"/>
      <c r="X107" s="127"/>
      <c r="Y107" s="127"/>
      <c r="Z107" s="127"/>
      <c r="AA107" s="127"/>
      <c r="AB107" s="127"/>
      <c r="AC107" s="127"/>
      <c r="AD107" s="127"/>
      <c r="AE107" s="127"/>
    </row>
    <row r="108" spans="2:31">
      <c r="M108" s="127"/>
      <c r="N108" s="127"/>
      <c r="O108" s="127"/>
      <c r="P108" s="127"/>
      <c r="Q108" s="127"/>
      <c r="R108" s="127"/>
      <c r="S108" s="127"/>
      <c r="T108" s="127"/>
      <c r="U108" s="127"/>
      <c r="V108" s="127"/>
      <c r="W108" s="127"/>
      <c r="X108" s="127"/>
      <c r="Y108" s="127"/>
      <c r="Z108" s="127"/>
      <c r="AA108" s="127"/>
      <c r="AB108" s="127"/>
      <c r="AC108" s="127"/>
      <c r="AD108" s="127"/>
      <c r="AE108" s="127"/>
    </row>
    <row r="109" spans="2:31">
      <c r="M109" s="127"/>
      <c r="N109" s="127"/>
      <c r="O109" s="127"/>
      <c r="P109" s="127"/>
      <c r="Q109" s="127"/>
      <c r="R109" s="127"/>
      <c r="S109" s="127"/>
      <c r="T109" s="127"/>
      <c r="U109" s="127"/>
      <c r="V109" s="127"/>
      <c r="W109" s="127"/>
      <c r="X109" s="127"/>
      <c r="Y109" s="127"/>
      <c r="Z109" s="127"/>
      <c r="AA109" s="127"/>
      <c r="AB109" s="127"/>
      <c r="AC109" s="127"/>
      <c r="AD109" s="127"/>
      <c r="AE109" s="127"/>
    </row>
    <row r="110" spans="2:31">
      <c r="M110" s="127"/>
      <c r="N110" s="127"/>
      <c r="O110" s="127"/>
      <c r="P110" s="127"/>
      <c r="Q110" s="127"/>
      <c r="R110" s="127"/>
      <c r="S110" s="127"/>
      <c r="T110" s="127"/>
      <c r="U110" s="127"/>
      <c r="V110" s="127"/>
      <c r="W110" s="127"/>
      <c r="X110" s="127"/>
      <c r="Y110" s="127"/>
      <c r="Z110" s="127"/>
      <c r="AA110" s="127"/>
      <c r="AB110" s="127"/>
      <c r="AC110" s="127"/>
      <c r="AD110" s="127"/>
      <c r="AE110" s="127"/>
    </row>
    <row r="111" spans="2:31">
      <c r="M111" s="127"/>
      <c r="N111" s="127"/>
      <c r="O111" s="127"/>
      <c r="P111" s="127"/>
      <c r="Q111" s="127"/>
      <c r="R111" s="127"/>
      <c r="S111" s="127"/>
      <c r="T111" s="127"/>
      <c r="U111" s="127"/>
      <c r="V111" s="127"/>
      <c r="W111" s="127"/>
      <c r="X111" s="127"/>
      <c r="Y111" s="127"/>
      <c r="Z111" s="127"/>
      <c r="AA111" s="127"/>
      <c r="AB111" s="127"/>
      <c r="AC111" s="127"/>
      <c r="AD111" s="127"/>
      <c r="AE111" s="127"/>
    </row>
    <row r="112" spans="2:31">
      <c r="M112" s="127"/>
      <c r="N112" s="127"/>
      <c r="O112" s="127"/>
      <c r="P112" s="127"/>
      <c r="Q112" s="127"/>
      <c r="R112" s="127"/>
      <c r="S112" s="127"/>
      <c r="T112" s="127"/>
      <c r="U112" s="127"/>
      <c r="V112" s="127"/>
      <c r="W112" s="127"/>
      <c r="X112" s="127"/>
      <c r="Y112" s="127"/>
      <c r="Z112" s="127"/>
      <c r="AA112" s="127"/>
      <c r="AB112" s="127"/>
      <c r="AC112" s="127"/>
      <c r="AD112" s="127"/>
      <c r="AE112" s="127"/>
    </row>
    <row r="113" spans="13:31">
      <c r="M113" s="127"/>
      <c r="N113" s="127"/>
      <c r="O113" s="127"/>
      <c r="P113" s="127"/>
      <c r="Q113" s="127"/>
      <c r="R113" s="127"/>
      <c r="S113" s="127"/>
      <c r="T113" s="127"/>
      <c r="U113" s="127"/>
      <c r="V113" s="127"/>
      <c r="W113" s="127"/>
      <c r="X113" s="127"/>
      <c r="Y113" s="127"/>
      <c r="Z113" s="127"/>
      <c r="AA113" s="127"/>
      <c r="AB113" s="127"/>
      <c r="AC113" s="127"/>
      <c r="AD113" s="127"/>
      <c r="AE113" s="127"/>
    </row>
    <row r="114" spans="13:31">
      <c r="M114" s="127"/>
      <c r="N114" s="127"/>
      <c r="O114" s="127"/>
      <c r="P114" s="127"/>
      <c r="Q114" s="127"/>
      <c r="R114" s="127"/>
      <c r="S114" s="127"/>
      <c r="T114" s="127"/>
      <c r="U114" s="127"/>
      <c r="V114" s="127"/>
      <c r="W114" s="127"/>
      <c r="X114" s="127"/>
      <c r="Y114" s="127"/>
      <c r="Z114" s="127"/>
      <c r="AA114" s="127"/>
      <c r="AB114" s="127"/>
      <c r="AC114" s="127"/>
      <c r="AD114" s="127"/>
      <c r="AE114" s="127"/>
    </row>
    <row r="115" spans="13:31">
      <c r="M115" s="127"/>
      <c r="N115" s="127"/>
      <c r="O115" s="127"/>
      <c r="P115" s="127"/>
      <c r="Q115" s="127"/>
      <c r="R115" s="127"/>
      <c r="S115" s="127"/>
      <c r="T115" s="127"/>
      <c r="U115" s="127"/>
      <c r="V115" s="127"/>
      <c r="W115" s="127"/>
      <c r="X115" s="127"/>
      <c r="Y115" s="127"/>
      <c r="Z115" s="127"/>
      <c r="AA115" s="127"/>
      <c r="AB115" s="127"/>
      <c r="AC115" s="127"/>
      <c r="AD115" s="127"/>
      <c r="AE115" s="127"/>
    </row>
    <row r="116" spans="13:31">
      <c r="M116" s="127"/>
      <c r="N116" s="127"/>
      <c r="O116" s="127"/>
      <c r="P116" s="127"/>
      <c r="Q116" s="127"/>
      <c r="R116" s="127"/>
      <c r="S116" s="127"/>
      <c r="T116" s="127"/>
      <c r="U116" s="127"/>
      <c r="V116" s="127"/>
      <c r="W116" s="127"/>
      <c r="X116" s="127"/>
      <c r="Y116" s="127"/>
      <c r="Z116" s="127"/>
      <c r="AA116" s="127"/>
      <c r="AB116" s="127"/>
      <c r="AC116" s="127"/>
      <c r="AD116" s="127"/>
      <c r="AE116" s="127"/>
    </row>
    <row r="117" spans="13:31">
      <c r="M117" s="127"/>
      <c r="N117" s="127"/>
      <c r="O117" s="127"/>
      <c r="P117" s="127"/>
      <c r="Q117" s="127"/>
      <c r="R117" s="127"/>
      <c r="S117" s="127"/>
      <c r="T117" s="127"/>
      <c r="U117" s="127"/>
      <c r="V117" s="127"/>
      <c r="W117" s="127"/>
      <c r="X117" s="127"/>
      <c r="Y117" s="127"/>
      <c r="Z117" s="127"/>
      <c r="AA117" s="127"/>
      <c r="AB117" s="127"/>
      <c r="AC117" s="127"/>
      <c r="AD117" s="127"/>
      <c r="AE117" s="127"/>
    </row>
    <row r="118" spans="13:31">
      <c r="M118" s="127"/>
      <c r="N118" s="127"/>
      <c r="O118" s="127"/>
      <c r="P118" s="127"/>
      <c r="Q118" s="127"/>
      <c r="R118" s="127"/>
      <c r="S118" s="127"/>
      <c r="T118" s="127"/>
      <c r="U118" s="127"/>
      <c r="V118" s="127"/>
      <c r="W118" s="127"/>
      <c r="X118" s="127"/>
      <c r="Y118" s="127"/>
      <c r="Z118" s="127"/>
      <c r="AA118" s="127"/>
      <c r="AB118" s="127"/>
      <c r="AC118" s="127"/>
      <c r="AD118" s="127"/>
      <c r="AE118" s="127"/>
    </row>
    <row r="119" spans="13:31">
      <c r="M119" s="127"/>
      <c r="N119" s="127"/>
      <c r="O119" s="127"/>
      <c r="P119" s="127"/>
      <c r="Q119" s="127"/>
      <c r="R119" s="127"/>
      <c r="S119" s="127"/>
      <c r="T119" s="127"/>
      <c r="U119" s="127"/>
      <c r="V119" s="127"/>
      <c r="W119" s="127"/>
      <c r="X119" s="127"/>
      <c r="Y119" s="127"/>
      <c r="Z119" s="127"/>
      <c r="AA119" s="127"/>
      <c r="AB119" s="127"/>
      <c r="AC119" s="127"/>
      <c r="AD119" s="127"/>
      <c r="AE119" s="127"/>
    </row>
    <row r="120" spans="13:31">
      <c r="M120" s="127"/>
      <c r="N120" s="127"/>
      <c r="O120" s="127"/>
      <c r="P120" s="127"/>
      <c r="Q120" s="127"/>
      <c r="R120" s="127"/>
      <c r="S120" s="127"/>
      <c r="T120" s="127"/>
      <c r="U120" s="127"/>
      <c r="V120" s="127"/>
      <c r="W120" s="127"/>
      <c r="X120" s="127"/>
      <c r="Y120" s="127"/>
      <c r="Z120" s="127"/>
      <c r="AA120" s="127"/>
      <c r="AB120" s="127"/>
      <c r="AC120" s="127"/>
      <c r="AD120" s="127"/>
      <c r="AE120" s="127"/>
    </row>
    <row r="121" spans="13:31">
      <c r="M121" s="127"/>
      <c r="N121" s="127"/>
      <c r="O121" s="127"/>
      <c r="P121" s="127"/>
      <c r="Q121" s="127"/>
      <c r="R121" s="127"/>
      <c r="S121" s="127"/>
      <c r="T121" s="127"/>
      <c r="U121" s="127"/>
      <c r="V121" s="127"/>
      <c r="W121" s="127"/>
      <c r="X121" s="127"/>
      <c r="Y121" s="127"/>
      <c r="Z121" s="127"/>
      <c r="AA121" s="127"/>
      <c r="AB121" s="127"/>
      <c r="AC121" s="127"/>
      <c r="AD121" s="127"/>
      <c r="AE121" s="127"/>
    </row>
    <row r="122" spans="13:31">
      <c r="M122" s="127"/>
      <c r="N122" s="127"/>
      <c r="O122" s="127"/>
      <c r="P122" s="127"/>
      <c r="Q122" s="127"/>
      <c r="R122" s="127"/>
      <c r="S122" s="127"/>
      <c r="T122" s="127"/>
      <c r="U122" s="127"/>
      <c r="V122" s="127"/>
      <c r="W122" s="127"/>
      <c r="X122" s="127"/>
      <c r="Y122" s="127"/>
      <c r="Z122" s="127"/>
      <c r="AA122" s="127"/>
      <c r="AB122" s="127"/>
      <c r="AC122" s="127"/>
      <c r="AD122" s="127"/>
      <c r="AE122" s="127"/>
    </row>
    <row r="123" spans="13:31">
      <c r="M123" s="127"/>
      <c r="N123" s="127"/>
      <c r="O123" s="127"/>
      <c r="P123" s="127"/>
      <c r="Q123" s="127"/>
      <c r="R123" s="127"/>
      <c r="S123" s="127"/>
      <c r="T123" s="127"/>
      <c r="U123" s="127"/>
      <c r="V123" s="127"/>
      <c r="W123" s="127"/>
      <c r="X123" s="127"/>
      <c r="Y123" s="127"/>
      <c r="Z123" s="127"/>
      <c r="AA123" s="127"/>
      <c r="AB123" s="127"/>
      <c r="AC123" s="127"/>
      <c r="AD123" s="127"/>
      <c r="AE123" s="127"/>
    </row>
    <row r="124" spans="13:31">
      <c r="M124" s="127"/>
      <c r="N124" s="127"/>
      <c r="O124" s="127"/>
      <c r="P124" s="127"/>
      <c r="Q124" s="127"/>
      <c r="R124" s="127"/>
      <c r="S124" s="127"/>
      <c r="T124" s="127"/>
      <c r="U124" s="127"/>
      <c r="V124" s="127"/>
      <c r="W124" s="127"/>
      <c r="X124" s="127"/>
      <c r="Y124" s="127"/>
      <c r="Z124" s="127"/>
      <c r="AA124" s="127"/>
      <c r="AB124" s="127"/>
      <c r="AC124" s="127"/>
      <c r="AD124" s="127"/>
      <c r="AE124" s="127"/>
    </row>
    <row r="125" spans="13:31">
      <c r="M125" s="127"/>
      <c r="N125" s="127"/>
      <c r="O125" s="127"/>
      <c r="P125" s="127"/>
      <c r="Q125" s="127"/>
      <c r="R125" s="127"/>
      <c r="S125" s="127"/>
      <c r="T125" s="127"/>
      <c r="U125" s="127"/>
      <c r="V125" s="127"/>
      <c r="W125" s="127"/>
      <c r="X125" s="127"/>
      <c r="Y125" s="127"/>
      <c r="Z125" s="127"/>
      <c r="AA125" s="127"/>
      <c r="AB125" s="127"/>
      <c r="AC125" s="127"/>
      <c r="AD125" s="127"/>
      <c r="AE125" s="127"/>
    </row>
    <row r="126" spans="13:31">
      <c r="M126" s="127"/>
      <c r="N126" s="127"/>
      <c r="O126" s="127"/>
      <c r="P126" s="127"/>
      <c r="Q126" s="127"/>
      <c r="R126" s="127"/>
      <c r="S126" s="127"/>
      <c r="T126" s="127"/>
      <c r="U126" s="127"/>
      <c r="V126" s="127"/>
      <c r="W126" s="127"/>
      <c r="X126" s="127"/>
      <c r="Y126" s="127"/>
      <c r="Z126" s="127"/>
      <c r="AA126" s="127"/>
      <c r="AB126" s="127"/>
      <c r="AC126" s="127"/>
      <c r="AD126" s="127"/>
      <c r="AE126" s="127"/>
    </row>
    <row r="127" spans="13:31">
      <c r="M127" s="127"/>
      <c r="N127" s="127"/>
      <c r="O127" s="127"/>
      <c r="P127" s="127"/>
      <c r="Q127" s="127"/>
      <c r="R127" s="127"/>
      <c r="S127" s="127"/>
      <c r="T127" s="127"/>
      <c r="U127" s="127"/>
      <c r="V127" s="127"/>
      <c r="W127" s="127"/>
      <c r="X127" s="127"/>
      <c r="Y127" s="127"/>
      <c r="Z127" s="127"/>
      <c r="AA127" s="127"/>
      <c r="AB127" s="127"/>
      <c r="AC127" s="127"/>
      <c r="AD127" s="127"/>
      <c r="AE127" s="127"/>
    </row>
    <row r="128" spans="13:31">
      <c r="M128" s="127"/>
      <c r="N128" s="127"/>
      <c r="O128" s="127"/>
      <c r="P128" s="127"/>
      <c r="Q128" s="127"/>
      <c r="R128" s="127"/>
      <c r="S128" s="127"/>
      <c r="T128" s="127"/>
      <c r="U128" s="127"/>
      <c r="V128" s="127"/>
      <c r="W128" s="127"/>
      <c r="X128" s="127"/>
      <c r="Y128" s="127"/>
      <c r="Z128" s="127"/>
      <c r="AA128" s="127"/>
      <c r="AB128" s="127"/>
      <c r="AC128" s="127"/>
      <c r="AD128" s="127"/>
      <c r="AE128" s="127"/>
    </row>
    <row r="129" spans="13:31">
      <c r="M129" s="127"/>
      <c r="N129" s="127"/>
      <c r="O129" s="127"/>
      <c r="P129" s="127"/>
      <c r="Q129" s="127"/>
      <c r="R129" s="127"/>
      <c r="S129" s="127"/>
      <c r="T129" s="127"/>
      <c r="U129" s="127"/>
      <c r="V129" s="127"/>
      <c r="W129" s="127"/>
      <c r="X129" s="127"/>
      <c r="Y129" s="127"/>
      <c r="Z129" s="127"/>
      <c r="AA129" s="127"/>
      <c r="AB129" s="127"/>
      <c r="AC129" s="127"/>
      <c r="AD129" s="127"/>
      <c r="AE129" s="127"/>
    </row>
    <row r="130" spans="13:31">
      <c r="M130" s="127"/>
      <c r="N130" s="127"/>
      <c r="O130" s="127"/>
      <c r="P130" s="127"/>
      <c r="Q130" s="127"/>
      <c r="R130" s="127"/>
      <c r="S130" s="127"/>
      <c r="T130" s="127"/>
      <c r="U130" s="127"/>
      <c r="V130" s="127"/>
      <c r="W130" s="127"/>
      <c r="X130" s="127"/>
      <c r="Y130" s="127"/>
      <c r="Z130" s="127"/>
      <c r="AA130" s="127"/>
      <c r="AB130" s="127"/>
      <c r="AC130" s="127"/>
      <c r="AD130" s="127"/>
      <c r="AE130" s="127"/>
    </row>
    <row r="131" spans="13:31">
      <c r="M131" s="127"/>
      <c r="N131" s="127"/>
      <c r="O131" s="127"/>
      <c r="P131" s="127"/>
      <c r="Q131" s="127"/>
      <c r="R131" s="127"/>
      <c r="S131" s="127"/>
      <c r="T131" s="127"/>
      <c r="U131" s="127"/>
      <c r="V131" s="127"/>
      <c r="W131" s="127"/>
      <c r="X131" s="127"/>
      <c r="Y131" s="127"/>
      <c r="Z131" s="127"/>
      <c r="AA131" s="127"/>
      <c r="AB131" s="127"/>
      <c r="AC131" s="127"/>
      <c r="AD131" s="127"/>
      <c r="AE131" s="127"/>
    </row>
    <row r="132" spans="13:31">
      <c r="M132" s="127"/>
      <c r="N132" s="127"/>
      <c r="O132" s="127"/>
      <c r="P132" s="127"/>
      <c r="Q132" s="127"/>
      <c r="R132" s="127"/>
      <c r="S132" s="127"/>
      <c r="T132" s="127"/>
      <c r="U132" s="127"/>
      <c r="V132" s="127"/>
      <c r="W132" s="127"/>
      <c r="X132" s="127"/>
      <c r="Y132" s="127"/>
      <c r="Z132" s="127"/>
      <c r="AA132" s="127"/>
      <c r="AB132" s="127"/>
      <c r="AC132" s="127"/>
      <c r="AD132" s="127"/>
      <c r="AE132" s="127"/>
    </row>
    <row r="133" spans="13:31">
      <c r="M133" s="127"/>
      <c r="N133" s="127"/>
      <c r="O133" s="127"/>
      <c r="P133" s="127"/>
      <c r="Q133" s="127"/>
      <c r="R133" s="127"/>
      <c r="S133" s="127"/>
      <c r="T133" s="127"/>
      <c r="U133" s="127"/>
      <c r="V133" s="127"/>
      <c r="W133" s="127"/>
      <c r="X133" s="127"/>
      <c r="Y133" s="127"/>
      <c r="Z133" s="127"/>
      <c r="AA133" s="127"/>
      <c r="AB133" s="127"/>
      <c r="AC133" s="127"/>
      <c r="AD133" s="127"/>
      <c r="AE133" s="127"/>
    </row>
    <row r="134" spans="13:31">
      <c r="M134" s="127"/>
      <c r="N134" s="127"/>
      <c r="O134" s="127"/>
      <c r="P134" s="127"/>
      <c r="Q134" s="127"/>
      <c r="R134" s="127"/>
      <c r="S134" s="127"/>
      <c r="T134" s="127"/>
      <c r="U134" s="127"/>
      <c r="V134" s="127"/>
      <c r="W134" s="127"/>
      <c r="X134" s="127"/>
      <c r="Y134" s="127"/>
      <c r="Z134" s="127"/>
      <c r="AA134" s="127"/>
      <c r="AB134" s="127"/>
      <c r="AC134" s="127"/>
      <c r="AD134" s="127"/>
      <c r="AE134" s="127"/>
    </row>
    <row r="135" spans="13:31">
      <c r="M135" s="127"/>
      <c r="N135" s="127"/>
      <c r="O135" s="127"/>
      <c r="P135" s="127"/>
      <c r="Q135" s="127"/>
      <c r="R135" s="127"/>
      <c r="S135" s="127"/>
      <c r="T135" s="127"/>
      <c r="U135" s="127"/>
      <c r="V135" s="127"/>
      <c r="W135" s="127"/>
      <c r="X135" s="127"/>
      <c r="Y135" s="127"/>
      <c r="Z135" s="127"/>
      <c r="AA135" s="127"/>
      <c r="AB135" s="127"/>
      <c r="AC135" s="127"/>
      <c r="AD135" s="127"/>
      <c r="AE135" s="127"/>
    </row>
    <row r="136" spans="13:31">
      <c r="M136" s="127"/>
      <c r="N136" s="127"/>
      <c r="O136" s="127"/>
      <c r="P136" s="127"/>
      <c r="Q136" s="127"/>
      <c r="R136" s="127"/>
      <c r="S136" s="127"/>
      <c r="T136" s="127"/>
      <c r="U136" s="127"/>
      <c r="V136" s="127"/>
      <c r="W136" s="127"/>
      <c r="X136" s="127"/>
      <c r="Y136" s="127"/>
      <c r="Z136" s="127"/>
      <c r="AA136" s="127"/>
      <c r="AB136" s="127"/>
      <c r="AC136" s="127"/>
      <c r="AD136" s="127"/>
      <c r="AE136" s="127"/>
    </row>
    <row r="137" spans="13:31">
      <c r="M137" s="127"/>
      <c r="N137" s="127"/>
      <c r="O137" s="127"/>
      <c r="P137" s="127"/>
      <c r="Q137" s="127"/>
      <c r="R137" s="127"/>
      <c r="S137" s="127"/>
      <c r="T137" s="127"/>
      <c r="U137" s="127"/>
      <c r="V137" s="127"/>
      <c r="W137" s="127"/>
      <c r="X137" s="127"/>
      <c r="Y137" s="127"/>
      <c r="Z137" s="127"/>
      <c r="AA137" s="127"/>
      <c r="AB137" s="127"/>
      <c r="AC137" s="127"/>
      <c r="AD137" s="127"/>
      <c r="AE137" s="127"/>
    </row>
    <row r="138" spans="13:31">
      <c r="M138" s="127"/>
      <c r="N138" s="127"/>
      <c r="O138" s="127"/>
      <c r="P138" s="127"/>
      <c r="Q138" s="127"/>
      <c r="R138" s="127"/>
      <c r="S138" s="127"/>
      <c r="T138" s="127"/>
      <c r="U138" s="127"/>
      <c r="V138" s="127"/>
      <c r="W138" s="127"/>
      <c r="X138" s="127"/>
      <c r="Y138" s="127"/>
      <c r="Z138" s="127"/>
      <c r="AA138" s="127"/>
      <c r="AB138" s="127"/>
      <c r="AC138" s="127"/>
      <c r="AD138" s="127"/>
      <c r="AE138" s="127"/>
    </row>
    <row r="139" spans="13:31">
      <c r="M139" s="127"/>
      <c r="N139" s="127"/>
      <c r="O139" s="127"/>
      <c r="P139" s="127"/>
      <c r="Q139" s="127"/>
      <c r="R139" s="127"/>
      <c r="S139" s="127"/>
      <c r="T139" s="127"/>
      <c r="U139" s="127"/>
      <c r="V139" s="127"/>
      <c r="W139" s="127"/>
      <c r="X139" s="127"/>
      <c r="Y139" s="127"/>
      <c r="Z139" s="127"/>
      <c r="AA139" s="127"/>
      <c r="AB139" s="127"/>
      <c r="AC139" s="127"/>
      <c r="AD139" s="127"/>
      <c r="AE139" s="127"/>
    </row>
    <row r="140" spans="13:31">
      <c r="M140" s="127"/>
      <c r="N140" s="127"/>
      <c r="O140" s="127"/>
      <c r="P140" s="127"/>
      <c r="Q140" s="127"/>
      <c r="R140" s="127"/>
      <c r="S140" s="127"/>
      <c r="T140" s="127"/>
      <c r="U140" s="127"/>
      <c r="V140" s="127"/>
      <c r="W140" s="127"/>
      <c r="X140" s="127"/>
      <c r="Y140" s="127"/>
      <c r="Z140" s="127"/>
      <c r="AA140" s="127"/>
      <c r="AB140" s="127"/>
      <c r="AC140" s="127"/>
      <c r="AD140" s="127"/>
      <c r="AE140" s="127"/>
    </row>
    <row r="141" spans="13:31">
      <c r="M141" s="127"/>
      <c r="N141" s="127"/>
      <c r="O141" s="127"/>
      <c r="P141" s="127"/>
      <c r="Q141" s="127"/>
      <c r="R141" s="127"/>
      <c r="S141" s="127"/>
      <c r="T141" s="127"/>
      <c r="U141" s="127"/>
      <c r="V141" s="127"/>
      <c r="W141" s="127"/>
      <c r="X141" s="127"/>
      <c r="Y141" s="127"/>
      <c r="Z141" s="127"/>
      <c r="AA141" s="127"/>
      <c r="AB141" s="127"/>
      <c r="AC141" s="127"/>
      <c r="AD141" s="127"/>
      <c r="AE141" s="127"/>
    </row>
    <row r="142" spans="13:31">
      <c r="M142" s="127"/>
      <c r="N142" s="127"/>
      <c r="O142" s="127"/>
      <c r="P142" s="127"/>
      <c r="Q142" s="127"/>
      <c r="R142" s="127"/>
      <c r="S142" s="127"/>
      <c r="T142" s="127"/>
      <c r="U142" s="127"/>
      <c r="V142" s="127"/>
      <c r="W142" s="127"/>
      <c r="X142" s="127"/>
      <c r="Y142" s="127"/>
      <c r="Z142" s="127"/>
      <c r="AA142" s="127"/>
      <c r="AB142" s="127"/>
      <c r="AC142" s="127"/>
      <c r="AD142" s="127"/>
      <c r="AE142" s="127"/>
    </row>
    <row r="143" spans="13:31">
      <c r="M143" s="127"/>
      <c r="N143" s="127"/>
      <c r="O143" s="127"/>
      <c r="P143" s="127"/>
      <c r="Q143" s="127"/>
      <c r="R143" s="127"/>
      <c r="S143" s="127"/>
      <c r="T143" s="127"/>
      <c r="U143" s="127"/>
      <c r="V143" s="127"/>
      <c r="W143" s="127"/>
      <c r="X143" s="127"/>
      <c r="Y143" s="127"/>
      <c r="Z143" s="127"/>
      <c r="AA143" s="127"/>
      <c r="AB143" s="127"/>
      <c r="AC143" s="127"/>
      <c r="AD143" s="127"/>
      <c r="AE143" s="127"/>
    </row>
    <row r="144" spans="13:31">
      <c r="M144" s="127"/>
      <c r="N144" s="127"/>
      <c r="O144" s="127"/>
      <c r="P144" s="127"/>
      <c r="Q144" s="127"/>
      <c r="R144" s="127"/>
      <c r="S144" s="127"/>
      <c r="T144" s="127"/>
      <c r="U144" s="127"/>
      <c r="V144" s="127"/>
      <c r="W144" s="127"/>
      <c r="X144" s="127"/>
      <c r="Y144" s="127"/>
      <c r="Z144" s="127"/>
      <c r="AA144" s="127"/>
      <c r="AB144" s="127"/>
      <c r="AC144" s="127"/>
      <c r="AD144" s="127"/>
      <c r="AE144" s="127"/>
    </row>
    <row r="145" spans="13:31">
      <c r="M145" s="127"/>
      <c r="N145" s="127"/>
      <c r="O145" s="127"/>
      <c r="P145" s="127"/>
      <c r="Q145" s="127"/>
      <c r="R145" s="127"/>
      <c r="S145" s="127"/>
      <c r="T145" s="127"/>
      <c r="U145" s="127"/>
      <c r="V145" s="127"/>
      <c r="W145" s="127"/>
      <c r="X145" s="127"/>
      <c r="Y145" s="127"/>
      <c r="Z145" s="127"/>
      <c r="AA145" s="127"/>
      <c r="AB145" s="127"/>
      <c r="AC145" s="127"/>
      <c r="AD145" s="127"/>
      <c r="AE145" s="127"/>
    </row>
    <row r="146" spans="13:31">
      <c r="M146" s="127"/>
      <c r="N146" s="127"/>
      <c r="O146" s="127"/>
      <c r="P146" s="127"/>
      <c r="Q146" s="127"/>
      <c r="R146" s="127"/>
      <c r="S146" s="127"/>
      <c r="T146" s="127"/>
      <c r="U146" s="127"/>
      <c r="V146" s="127"/>
      <c r="W146" s="127"/>
      <c r="X146" s="127"/>
      <c r="Y146" s="127"/>
      <c r="Z146" s="127"/>
      <c r="AA146" s="127"/>
      <c r="AB146" s="127"/>
      <c r="AC146" s="127"/>
      <c r="AD146" s="127"/>
      <c r="AE146" s="127"/>
    </row>
    <row r="147" spans="13:31">
      <c r="M147" s="127"/>
      <c r="N147" s="127"/>
      <c r="O147" s="127"/>
      <c r="P147" s="127"/>
      <c r="Q147" s="127"/>
      <c r="R147" s="127"/>
      <c r="S147" s="127"/>
      <c r="T147" s="127"/>
      <c r="U147" s="127"/>
      <c r="V147" s="127"/>
      <c r="W147" s="127"/>
      <c r="X147" s="127"/>
      <c r="Y147" s="127"/>
      <c r="Z147" s="127"/>
      <c r="AA147" s="127"/>
      <c r="AB147" s="127"/>
      <c r="AC147" s="127"/>
      <c r="AD147" s="127"/>
      <c r="AE147" s="127"/>
    </row>
    <row r="148" spans="13:31">
      <c r="M148" s="127"/>
      <c r="N148" s="127"/>
      <c r="O148" s="127"/>
      <c r="P148" s="127"/>
      <c r="Q148" s="127"/>
      <c r="R148" s="127"/>
      <c r="S148" s="127"/>
      <c r="T148" s="127"/>
      <c r="U148" s="127"/>
      <c r="V148" s="127"/>
      <c r="W148" s="127"/>
      <c r="X148" s="127"/>
      <c r="Y148" s="127"/>
      <c r="Z148" s="127"/>
      <c r="AA148" s="127"/>
      <c r="AB148" s="127"/>
      <c r="AC148" s="127"/>
      <c r="AD148" s="127"/>
      <c r="AE148" s="127"/>
    </row>
  </sheetData>
  <sheetProtection algorithmName="SHA-512" hashValue="CoqGuQGF+UIDkcuXFLz9dMWyzWMb8U4OUjjGZzGvz0E6VTq0fmDRt2fpz3WnTiX9eGbMm4BRfCCdI3KtP3bvEA==" saltValue="QNJiPKEyQf2UGVyjpLW/Jg==" spinCount="100000" sheet="1" objects="1" scenarios="1" selectLockedCells="1"/>
  <mergeCells count="10">
    <mergeCell ref="C53:D54"/>
    <mergeCell ref="F53:G54"/>
    <mergeCell ref="B55:H55"/>
    <mergeCell ref="C8:G8"/>
    <mergeCell ref="H8:H9"/>
    <mergeCell ref="E38:E42"/>
    <mergeCell ref="H38:H42"/>
    <mergeCell ref="B39:B43"/>
    <mergeCell ref="C41:D41"/>
    <mergeCell ref="F41:G41"/>
  </mergeCells>
  <dataValidations count="1">
    <dataValidation errorStyle="information" showInputMessage="1" showErrorMessage="1" errorTitle="Enter a whole number value" promptTitle="Enter % Margin" sqref="D43 G43" xr:uid="{DA395C3B-8D8E-4D30-A9D6-29E800457311}"/>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FDB3-F558-40D5-A6BD-DF5D57BCD3BB}">
  <sheetPr>
    <tabColor theme="0" tint="-4.9989318521683403E-2"/>
  </sheetPr>
  <dimension ref="A3:L46"/>
  <sheetViews>
    <sheetView topLeftCell="A21" workbookViewId="0">
      <selection activeCell="D25" sqref="D25"/>
    </sheetView>
  </sheetViews>
  <sheetFormatPr defaultRowHeight="15"/>
  <cols>
    <col min="1" max="1" width="2.88671875" customWidth="1"/>
    <col min="2" max="2" width="2.109375" customWidth="1"/>
    <col min="3" max="3" width="24.21875" customWidth="1"/>
    <col min="4" max="4" width="18.77734375" customWidth="1"/>
    <col min="5" max="5" width="2.44140625" customWidth="1"/>
    <col min="6" max="6" width="23.6640625" customWidth="1"/>
    <col min="7" max="7" width="18.77734375" customWidth="1"/>
    <col min="8" max="8" width="2.44140625" customWidth="1"/>
  </cols>
  <sheetData>
    <row r="3" spans="1:12">
      <c r="A3" s="127"/>
      <c r="B3" s="128"/>
      <c r="C3" s="323" t="s">
        <v>305</v>
      </c>
      <c r="D3" s="128"/>
      <c r="E3" s="128"/>
      <c r="F3" s="128"/>
      <c r="G3" s="128"/>
      <c r="H3" s="128"/>
      <c r="I3" s="127"/>
      <c r="J3" s="127"/>
      <c r="K3" s="127"/>
      <c r="L3" s="127"/>
    </row>
    <row r="4" spans="1:12">
      <c r="A4" s="127"/>
      <c r="B4" s="128"/>
      <c r="C4" s="128"/>
      <c r="D4" s="128"/>
      <c r="E4" s="128"/>
      <c r="F4" s="128"/>
      <c r="G4" s="128"/>
      <c r="H4" s="128"/>
      <c r="I4" s="127"/>
      <c r="J4" s="127"/>
      <c r="K4" s="127"/>
      <c r="L4" s="127"/>
    </row>
    <row r="5" spans="1:12">
      <c r="A5" s="127"/>
      <c r="B5" s="128"/>
      <c r="C5" s="128"/>
      <c r="D5" s="128"/>
      <c r="E5" s="128"/>
      <c r="F5" s="128"/>
      <c r="G5" s="128"/>
      <c r="H5" s="128"/>
      <c r="I5" s="127"/>
      <c r="J5" s="127"/>
      <c r="K5" s="127"/>
      <c r="L5" s="127"/>
    </row>
    <row r="6" spans="1:12">
      <c r="A6" s="127"/>
      <c r="B6" s="127"/>
      <c r="C6" s="128"/>
      <c r="D6" s="128"/>
      <c r="E6" s="128"/>
      <c r="F6" s="128"/>
      <c r="G6" s="128"/>
      <c r="H6" s="127"/>
      <c r="I6" s="127"/>
      <c r="J6" s="127"/>
      <c r="K6" s="127"/>
      <c r="L6" s="127"/>
    </row>
    <row r="7" spans="1:12">
      <c r="A7" s="127"/>
      <c r="B7" s="127"/>
      <c r="C7" s="128"/>
      <c r="D7" s="128"/>
      <c r="E7" s="128"/>
      <c r="F7" s="128"/>
      <c r="G7" s="128"/>
      <c r="H7" s="127"/>
      <c r="I7" s="127"/>
      <c r="J7" s="127"/>
      <c r="K7" s="127"/>
      <c r="L7" s="127"/>
    </row>
    <row r="8" spans="1:12">
      <c r="A8" s="127"/>
      <c r="B8" s="127"/>
      <c r="C8" s="128"/>
      <c r="D8" s="128"/>
      <c r="E8" s="128"/>
      <c r="F8" s="128"/>
      <c r="G8" s="128"/>
      <c r="H8" s="127"/>
      <c r="I8" s="127"/>
      <c r="J8" s="127"/>
      <c r="K8" s="127"/>
      <c r="L8" s="127"/>
    </row>
    <row r="9" spans="1:12" ht="15.4" thickBot="1">
      <c r="A9" s="127"/>
      <c r="B9" s="127"/>
      <c r="C9" s="128"/>
      <c r="D9" s="128"/>
      <c r="E9" s="126"/>
      <c r="F9" s="128"/>
      <c r="G9" s="128"/>
      <c r="H9" s="127"/>
      <c r="I9" s="127"/>
      <c r="J9" s="127"/>
      <c r="K9" s="127"/>
      <c r="L9" s="127"/>
    </row>
    <row r="10" spans="1:12" ht="15.75" thickTop="1" thickBot="1">
      <c r="A10" s="127"/>
      <c r="B10" s="413"/>
      <c r="C10" s="415"/>
      <c r="D10" s="416"/>
      <c r="E10" s="417"/>
      <c r="F10" s="416"/>
      <c r="G10" s="416"/>
      <c r="H10" s="418"/>
      <c r="I10" s="127"/>
      <c r="J10" s="127"/>
      <c r="K10" s="127"/>
      <c r="L10" s="127"/>
    </row>
    <row r="11" spans="1:12" ht="25.5" customHeight="1">
      <c r="A11" s="127"/>
      <c r="B11" s="414"/>
      <c r="C11" s="210" t="s">
        <v>32</v>
      </c>
      <c r="D11" s="237" t="str">
        <f>'Dealer Twine Cost Comparison'!D9</f>
        <v>T &amp; H Packaging</v>
      </c>
      <c r="E11" s="426"/>
      <c r="F11" s="211" t="s">
        <v>58</v>
      </c>
      <c r="G11" s="237" t="str">
        <f>'Dealer Twine Cost Comparison'!G9</f>
        <v>JD Impax 4730/ 450</v>
      </c>
      <c r="H11" s="410"/>
      <c r="I11" s="127"/>
      <c r="J11" s="127"/>
      <c r="K11" s="127"/>
      <c r="L11" s="127"/>
    </row>
    <row r="12" spans="1:12">
      <c r="A12" s="127"/>
      <c r="B12" s="131"/>
      <c r="C12" s="204"/>
      <c r="D12" s="209"/>
      <c r="E12" s="427"/>
      <c r="F12" s="209"/>
      <c r="G12" s="209"/>
      <c r="H12" s="411"/>
      <c r="I12" s="127"/>
      <c r="J12" s="127"/>
      <c r="K12" s="127"/>
      <c r="L12" s="127"/>
    </row>
    <row r="13" spans="1:12">
      <c r="A13" s="127"/>
      <c r="B13" s="131"/>
      <c r="C13" s="205" t="s">
        <v>59</v>
      </c>
      <c r="D13" s="238">
        <f>'Dealer Twine Cost Comparison'!D11</f>
        <v>4000</v>
      </c>
      <c r="E13" s="427"/>
      <c r="F13" s="212" t="s">
        <v>59</v>
      </c>
      <c r="G13" s="238">
        <f>'Dealer Twine Cost Comparison'!G11</f>
        <v>4730</v>
      </c>
      <c r="H13" s="411"/>
      <c r="I13" s="127"/>
      <c r="J13" s="127"/>
      <c r="K13" s="127"/>
      <c r="L13" s="127"/>
    </row>
    <row r="14" spans="1:12">
      <c r="A14" s="127"/>
      <c r="B14" s="131"/>
      <c r="C14" s="133"/>
      <c r="D14" s="239"/>
      <c r="E14" s="427"/>
      <c r="F14" s="128"/>
      <c r="G14" s="239"/>
      <c r="H14" s="411"/>
      <c r="I14" s="127"/>
      <c r="J14" s="127"/>
      <c r="K14" s="127"/>
      <c r="L14" s="127"/>
    </row>
    <row r="15" spans="1:12">
      <c r="A15" s="127"/>
      <c r="B15" s="131"/>
      <c r="C15" s="203" t="s">
        <v>36</v>
      </c>
      <c r="D15" s="213">
        <f>'Dealer Twine Cost Comparison'!D13</f>
        <v>440</v>
      </c>
      <c r="E15" s="427"/>
      <c r="F15" s="213" t="s">
        <v>36</v>
      </c>
      <c r="G15" s="213">
        <f>'Dealer Twine Cost Comparison'!G13</f>
        <v>450</v>
      </c>
      <c r="H15" s="411"/>
      <c r="I15" s="127"/>
      <c r="J15" s="127"/>
      <c r="K15" s="127"/>
      <c r="L15" s="127"/>
    </row>
    <row r="16" spans="1:12">
      <c r="A16" s="127"/>
      <c r="B16" s="131"/>
      <c r="C16" s="133"/>
      <c r="D16" s="128"/>
      <c r="E16" s="427"/>
      <c r="F16" s="128"/>
      <c r="G16" s="128"/>
      <c r="H16" s="411"/>
      <c r="I16" s="127"/>
      <c r="J16" s="127"/>
      <c r="K16" s="127"/>
      <c r="L16" s="127"/>
    </row>
    <row r="17" spans="1:12">
      <c r="A17" s="127"/>
      <c r="B17" s="131"/>
      <c r="C17" s="202" t="s">
        <v>37</v>
      </c>
      <c r="D17" s="240">
        <f>'Dealer Twine Cost Comparison'!D15</f>
        <v>48</v>
      </c>
      <c r="E17" s="427"/>
      <c r="F17" s="214" t="s">
        <v>37</v>
      </c>
      <c r="G17" s="240">
        <f>'Dealer Twine Cost Comparison'!G15</f>
        <v>48</v>
      </c>
      <c r="H17" s="411"/>
      <c r="I17" s="127"/>
      <c r="J17" s="127"/>
      <c r="K17" s="127"/>
      <c r="L17" s="127"/>
    </row>
    <row r="18" spans="1:12">
      <c r="A18" s="127"/>
      <c r="B18" s="131"/>
      <c r="C18" s="133"/>
      <c r="D18" s="128"/>
      <c r="E18" s="427"/>
      <c r="F18" s="128"/>
      <c r="G18" s="128"/>
      <c r="H18" s="411"/>
      <c r="I18" s="127"/>
      <c r="J18" s="127"/>
      <c r="K18" s="127"/>
      <c r="L18" s="127"/>
    </row>
    <row r="19" spans="1:12">
      <c r="A19" s="127"/>
      <c r="B19" s="131"/>
      <c r="C19" s="201" t="s">
        <v>60</v>
      </c>
      <c r="D19" s="241">
        <f>'Dealer Twine Cost Comparison'!D45</f>
        <v>39.767689999999995</v>
      </c>
      <c r="E19" s="427"/>
      <c r="F19" s="215" t="s">
        <v>60</v>
      </c>
      <c r="G19" s="241">
        <f>'Dealer Twine Cost Comparison'!G45</f>
        <v>44.425879999999999</v>
      </c>
      <c r="H19" s="411"/>
      <c r="I19" s="127"/>
      <c r="J19" s="127"/>
      <c r="K19" s="127"/>
      <c r="L19" s="127"/>
    </row>
    <row r="20" spans="1:12">
      <c r="A20" s="127"/>
      <c r="B20" s="131"/>
      <c r="C20" s="133"/>
      <c r="D20" s="128"/>
      <c r="E20" s="427"/>
      <c r="F20" s="128"/>
      <c r="G20" s="128"/>
      <c r="H20" s="411"/>
      <c r="I20" s="127"/>
      <c r="J20" s="127"/>
      <c r="K20" s="127"/>
      <c r="L20" s="127"/>
    </row>
    <row r="21" spans="1:12">
      <c r="A21" s="127"/>
      <c r="B21" s="131"/>
      <c r="C21" s="206" t="s">
        <v>61</v>
      </c>
      <c r="D21" s="228">
        <f>SUM(D19/D13)</f>
        <v>9.9419224999999986E-3</v>
      </c>
      <c r="E21" s="427"/>
      <c r="F21" s="222" t="s">
        <v>61</v>
      </c>
      <c r="G21" s="216">
        <f>SUM(G19/G13)</f>
        <v>9.3923636363636362E-3</v>
      </c>
      <c r="H21" s="411"/>
      <c r="I21" s="127"/>
      <c r="J21" s="127"/>
      <c r="K21" s="127"/>
      <c r="L21" s="127"/>
    </row>
    <row r="22" spans="1:12">
      <c r="A22" s="127"/>
      <c r="B22" s="131"/>
      <c r="C22" s="204" t="s">
        <v>48</v>
      </c>
      <c r="D22" s="128"/>
      <c r="E22" s="427"/>
      <c r="F22" s="209" t="s">
        <v>48</v>
      </c>
      <c r="G22" s="128"/>
      <c r="H22" s="411"/>
      <c r="I22" s="127"/>
      <c r="J22" s="127"/>
      <c r="K22" s="127"/>
      <c r="L22" s="127"/>
    </row>
    <row r="23" spans="1:12">
      <c r="A23" s="127"/>
      <c r="B23" s="131"/>
      <c r="C23" s="206" t="s">
        <v>62</v>
      </c>
      <c r="D23" s="229">
        <f>PRODUCT(D21,1000)</f>
        <v>9.9419224999999987</v>
      </c>
      <c r="E23" s="427"/>
      <c r="F23" s="222" t="s">
        <v>62</v>
      </c>
      <c r="G23" s="217">
        <f>PRODUCT(G21,1000)</f>
        <v>9.3923636363636369</v>
      </c>
      <c r="H23" s="411"/>
      <c r="I23" s="127"/>
      <c r="J23" s="127"/>
      <c r="K23" s="127"/>
      <c r="L23" s="127"/>
    </row>
    <row r="24" spans="1:12" ht="15.4" thickBot="1">
      <c r="A24" s="127"/>
      <c r="B24" s="131"/>
      <c r="C24" s="133"/>
      <c r="D24" s="128"/>
      <c r="E24" s="427"/>
      <c r="F24" s="128"/>
      <c r="G24" s="128"/>
      <c r="H24" s="411"/>
      <c r="I24" s="127"/>
      <c r="J24" s="127"/>
      <c r="K24" s="127"/>
      <c r="L24" s="127"/>
    </row>
    <row r="25" spans="1:12" ht="15.4" thickBot="1">
      <c r="A25" s="127"/>
      <c r="B25" s="131"/>
      <c r="C25" s="199" t="s">
        <v>63</v>
      </c>
      <c r="D25" s="218">
        <v>6</v>
      </c>
      <c r="E25" s="427"/>
      <c r="F25" s="233" t="s">
        <v>63</v>
      </c>
      <c r="G25" s="218">
        <v>6</v>
      </c>
      <c r="H25" s="411"/>
      <c r="I25" s="425" t="s">
        <v>64</v>
      </c>
      <c r="J25" s="419"/>
      <c r="K25" s="419"/>
      <c r="L25" s="420"/>
    </row>
    <row r="26" spans="1:12" ht="15.4" thickBot="1">
      <c r="A26" s="127"/>
      <c r="B26" s="131"/>
      <c r="C26" s="133"/>
      <c r="D26" s="128"/>
      <c r="E26" s="427"/>
      <c r="F26" s="128"/>
      <c r="G26" s="128"/>
      <c r="H26" s="411"/>
      <c r="I26" s="127"/>
      <c r="J26" s="127"/>
      <c r="K26" s="127"/>
      <c r="L26" s="127"/>
    </row>
    <row r="27" spans="1:12" ht="15.4" thickBot="1">
      <c r="A27" s="127"/>
      <c r="B27" s="131"/>
      <c r="C27" s="200" t="s">
        <v>65</v>
      </c>
      <c r="D27" s="219">
        <v>22.4</v>
      </c>
      <c r="E27" s="427"/>
      <c r="F27" s="234" t="s">
        <v>66</v>
      </c>
      <c r="G27" s="219">
        <v>22.4</v>
      </c>
      <c r="H27" s="411"/>
      <c r="I27" s="419" t="s">
        <v>67</v>
      </c>
      <c r="J27" s="419"/>
      <c r="K27" s="419"/>
      <c r="L27" s="420"/>
    </row>
    <row r="28" spans="1:12" ht="15.4" thickBot="1">
      <c r="A28" s="127"/>
      <c r="B28" s="131"/>
      <c r="C28" s="133"/>
      <c r="D28" s="128"/>
      <c r="E28" s="427"/>
      <c r="F28" s="128"/>
      <c r="G28" s="128"/>
      <c r="H28" s="411"/>
      <c r="I28" s="127"/>
      <c r="J28" s="127"/>
      <c r="K28" s="127"/>
      <c r="L28" s="127"/>
    </row>
    <row r="29" spans="1:12" ht="15.4" thickBot="1">
      <c r="A29" s="127"/>
      <c r="B29" s="131"/>
      <c r="C29" s="207" t="s">
        <v>68</v>
      </c>
      <c r="D29" s="220">
        <v>10000</v>
      </c>
      <c r="E29" s="427"/>
      <c r="F29" s="235" t="s">
        <v>68</v>
      </c>
      <c r="G29" s="220">
        <v>10000</v>
      </c>
      <c r="H29" s="411"/>
      <c r="I29" s="139"/>
      <c r="J29" s="139"/>
      <c r="K29" s="139"/>
      <c r="L29" s="127"/>
    </row>
    <row r="30" spans="1:12">
      <c r="A30" s="127"/>
      <c r="B30" s="131"/>
      <c r="C30" s="204"/>
      <c r="D30" s="221"/>
      <c r="E30" s="427"/>
      <c r="F30" s="209"/>
      <c r="G30" s="221"/>
      <c r="H30" s="411"/>
      <c r="I30" s="127"/>
      <c r="J30" s="127"/>
      <c r="K30" s="127"/>
      <c r="L30" s="127"/>
    </row>
    <row r="31" spans="1:12">
      <c r="A31" s="127"/>
      <c r="B31" s="131"/>
      <c r="C31" s="206" t="s">
        <v>69</v>
      </c>
      <c r="D31" s="222">
        <f>(D27*D25)</f>
        <v>134.39999999999998</v>
      </c>
      <c r="E31" s="427"/>
      <c r="F31" s="222" t="s">
        <v>69</v>
      </c>
      <c r="G31" s="222">
        <f>(G27*G25)</f>
        <v>134.39999999999998</v>
      </c>
      <c r="H31" s="411"/>
      <c r="I31" s="127"/>
      <c r="J31" s="127"/>
      <c r="K31" s="127"/>
      <c r="L31" s="127"/>
    </row>
    <row r="32" spans="1:12">
      <c r="A32" s="127"/>
      <c r="B32" s="131"/>
      <c r="C32" s="204"/>
      <c r="D32" s="209"/>
      <c r="E32" s="427"/>
      <c r="F32" s="209"/>
      <c r="G32" s="209"/>
      <c r="H32" s="411"/>
      <c r="I32" s="127"/>
      <c r="J32" s="127"/>
      <c r="K32" s="127"/>
      <c r="L32" s="127"/>
    </row>
    <row r="33" spans="1:12">
      <c r="A33" s="127"/>
      <c r="B33" s="131"/>
      <c r="C33" s="206" t="s">
        <v>70</v>
      </c>
      <c r="D33" s="223">
        <f>PRODUCT(D21)*(D25*D27)</f>
        <v>1.3361943839999997</v>
      </c>
      <c r="E33" s="427"/>
      <c r="F33" s="222" t="s">
        <v>70</v>
      </c>
      <c r="G33" s="223">
        <f>PRODUCT(G21)*(G25*G27)</f>
        <v>1.2623336727272725</v>
      </c>
      <c r="H33" s="411"/>
      <c r="I33" s="127"/>
      <c r="J33" s="127"/>
      <c r="K33" s="127"/>
      <c r="L33" s="127"/>
    </row>
    <row r="34" spans="1:12">
      <c r="A34" s="127"/>
      <c r="B34" s="131"/>
      <c r="C34" s="133"/>
      <c r="D34" s="128"/>
      <c r="E34" s="427"/>
      <c r="F34" s="128"/>
      <c r="G34" s="128"/>
      <c r="H34" s="411"/>
      <c r="I34" s="127"/>
      <c r="J34" s="127"/>
      <c r="K34" s="127"/>
      <c r="L34" s="127"/>
    </row>
    <row r="35" spans="1:12">
      <c r="A35" s="127"/>
      <c r="B35" s="131"/>
      <c r="C35" s="206" t="s">
        <v>71</v>
      </c>
      <c r="D35" s="230">
        <f>PRODUCT(D29,D31)/D13</f>
        <v>335.99999999999994</v>
      </c>
      <c r="E35" s="427"/>
      <c r="F35" s="222" t="s">
        <v>71</v>
      </c>
      <c r="G35" s="224">
        <f>PRODUCT(G29,G31)/G13</f>
        <v>284.14376321353063</v>
      </c>
      <c r="H35" s="411"/>
      <c r="I35" s="127"/>
      <c r="J35" s="127"/>
      <c r="K35" s="127"/>
      <c r="L35" s="127"/>
    </row>
    <row r="36" spans="1:12">
      <c r="A36" s="127"/>
      <c r="B36" s="131"/>
      <c r="C36" s="204"/>
      <c r="D36" s="231"/>
      <c r="E36" s="427"/>
      <c r="F36" s="128"/>
      <c r="G36" s="225"/>
      <c r="H36" s="411"/>
      <c r="I36" s="127"/>
      <c r="J36" s="127"/>
      <c r="K36" s="127"/>
      <c r="L36" s="127"/>
    </row>
    <row r="37" spans="1:12">
      <c r="A37" s="127"/>
      <c r="B37" s="131"/>
      <c r="C37" s="206" t="s">
        <v>72</v>
      </c>
      <c r="D37" s="223">
        <f>PRODUCT(D33,D29)</f>
        <v>13361.943839999996</v>
      </c>
      <c r="E37" s="427"/>
      <c r="F37" s="222" t="s">
        <v>72</v>
      </c>
      <c r="G37" s="223">
        <f>PRODUCT(G33,G29)</f>
        <v>12623.336727272725</v>
      </c>
      <c r="H37" s="411"/>
      <c r="I37" s="127"/>
      <c r="J37" s="127"/>
      <c r="K37" s="127"/>
      <c r="L37" s="127"/>
    </row>
    <row r="38" spans="1:12" ht="48.4" customHeight="1">
      <c r="A38" s="127"/>
      <c r="B38" s="131"/>
      <c r="C38" s="208" t="s">
        <v>73</v>
      </c>
      <c r="D38" s="226">
        <f>ROUNDUP(D35/D17,0)</f>
        <v>7</v>
      </c>
      <c r="E38" s="427"/>
      <c r="F38" s="236" t="s">
        <v>73</v>
      </c>
      <c r="G38" s="226">
        <f>ROUNDUP(G35/G17,0)</f>
        <v>6</v>
      </c>
      <c r="H38" s="411"/>
      <c r="I38" s="127"/>
      <c r="J38" s="127"/>
      <c r="K38" s="127"/>
      <c r="L38" s="127"/>
    </row>
    <row r="39" spans="1:12">
      <c r="A39" s="127"/>
      <c r="B39" s="131"/>
      <c r="C39" s="136"/>
      <c r="D39" s="232"/>
      <c r="E39" s="427"/>
      <c r="F39" s="128"/>
      <c r="G39" s="227"/>
      <c r="H39" s="411"/>
      <c r="I39" s="127"/>
      <c r="J39" s="127"/>
      <c r="K39" s="127"/>
      <c r="L39" s="127"/>
    </row>
    <row r="40" spans="1:12" ht="27.4">
      <c r="A40" s="127"/>
      <c r="B40" s="131"/>
      <c r="C40" s="208" t="s">
        <v>74</v>
      </c>
      <c r="D40" s="223">
        <f>(D38*D17)*D19</f>
        <v>13361.943839999998</v>
      </c>
      <c r="E40" s="427"/>
      <c r="F40" s="222" t="s">
        <v>74</v>
      </c>
      <c r="G40" s="223">
        <f>(G38*G17)*G19</f>
        <v>12794.65344</v>
      </c>
      <c r="H40" s="411"/>
      <c r="I40" s="127"/>
      <c r="J40" s="127"/>
      <c r="K40" s="127"/>
      <c r="L40" s="127"/>
    </row>
    <row r="41" spans="1:12">
      <c r="A41" s="127"/>
      <c r="B41" s="131"/>
      <c r="C41" s="133"/>
      <c r="D41" s="128"/>
      <c r="E41" s="427"/>
      <c r="F41" s="128"/>
      <c r="G41" s="128"/>
      <c r="H41" s="411"/>
      <c r="I41" s="127"/>
      <c r="J41" s="127"/>
      <c r="K41" s="127"/>
      <c r="L41" s="127"/>
    </row>
    <row r="42" spans="1:12">
      <c r="A42" s="127"/>
      <c r="B42" s="131"/>
      <c r="C42" s="421" t="s">
        <v>57</v>
      </c>
      <c r="D42" s="422"/>
      <c r="E42" s="427"/>
      <c r="F42" s="422" t="s">
        <v>57</v>
      </c>
      <c r="G42" s="422"/>
      <c r="H42" s="411"/>
      <c r="I42" s="127"/>
      <c r="J42" s="127"/>
      <c r="K42" s="127"/>
      <c r="L42" s="127"/>
    </row>
    <row r="43" spans="1:12" ht="15.4" thickBot="1">
      <c r="A43" s="127"/>
      <c r="B43" s="131"/>
      <c r="C43" s="423"/>
      <c r="D43" s="424"/>
      <c r="E43" s="428"/>
      <c r="F43" s="424"/>
      <c r="G43" s="424"/>
      <c r="H43" s="411"/>
      <c r="I43" s="127"/>
      <c r="J43" s="127"/>
      <c r="K43" s="127"/>
      <c r="L43" s="127"/>
    </row>
    <row r="44" spans="1:12" ht="15.75" thickTop="1" thickBot="1">
      <c r="A44" s="127"/>
      <c r="B44" s="130"/>
      <c r="C44" s="129"/>
      <c r="D44" s="129"/>
      <c r="E44" s="129"/>
      <c r="F44" s="129"/>
      <c r="G44" s="129"/>
      <c r="H44" s="412"/>
      <c r="I44" s="127"/>
      <c r="J44" s="127"/>
      <c r="K44" s="127"/>
      <c r="L44" s="127"/>
    </row>
    <row r="45" spans="1:12" ht="15.4" thickTop="1">
      <c r="A45" s="127"/>
      <c r="B45" s="127"/>
      <c r="C45" s="128"/>
      <c r="D45" s="128"/>
      <c r="E45" s="128"/>
      <c r="F45" s="128"/>
      <c r="G45" s="128"/>
      <c r="H45" s="127"/>
      <c r="I45" s="127"/>
      <c r="J45" s="127"/>
      <c r="K45" s="127"/>
      <c r="L45" s="127"/>
    </row>
    <row r="46" spans="1:12">
      <c r="A46" s="127"/>
      <c r="B46" s="127"/>
      <c r="C46" s="128"/>
      <c r="D46" s="128"/>
      <c r="E46" s="128"/>
      <c r="F46" s="128"/>
      <c r="G46" s="128"/>
      <c r="H46" s="127"/>
      <c r="I46" s="127"/>
      <c r="J46" s="127"/>
      <c r="K46" s="127"/>
      <c r="L46" s="127"/>
    </row>
  </sheetData>
  <sheetProtection algorithmName="SHA-512" hashValue="b/Gy05uqvSdM0jhjd7DyjlVNLqRg8hAl6P/L0HRjpEZKvT5diCbL6Uz2v9BDyNVj4kpAM84O9fYu0njyvZ29yA==" saltValue="vHoaSJ4VjQruy1UyAZiPrw==" spinCount="100000" sheet="1" objects="1" scenarios="1" selectLockedCells="1"/>
  <mergeCells count="8">
    <mergeCell ref="H11:H44"/>
    <mergeCell ref="B10:B11"/>
    <mergeCell ref="C10:H10"/>
    <mergeCell ref="I27:L27"/>
    <mergeCell ref="C42:D43"/>
    <mergeCell ref="F42:G43"/>
    <mergeCell ref="I25:L25"/>
    <mergeCell ref="E11:E4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B1:I44"/>
  <sheetViews>
    <sheetView showGridLines="0" showRuler="0" topLeftCell="A3" zoomScaleNormal="100" zoomScaleSheetLayoutView="115" workbookViewId="0">
      <selection activeCell="E8" sqref="E8"/>
    </sheetView>
  </sheetViews>
  <sheetFormatPr defaultColWidth="8.77734375" defaultRowHeight="15"/>
  <cols>
    <col min="2" max="2" width="27.21875" customWidth="1"/>
    <col min="3" max="3" width="29.77734375" customWidth="1"/>
    <col min="4" max="4" width="1.77734375" customWidth="1"/>
    <col min="5" max="5" width="44.44140625" customWidth="1"/>
    <col min="6" max="6" width="5.5546875" customWidth="1"/>
    <col min="7" max="7" width="4.21875" customWidth="1"/>
    <col min="8" max="8" width="1" customWidth="1"/>
  </cols>
  <sheetData>
    <row r="1" spans="2:9" ht="15.4" thickBot="1"/>
    <row r="2" spans="2:9" ht="102" customHeight="1" thickTop="1">
      <c r="B2" s="39"/>
      <c r="C2" s="40"/>
      <c r="D2" s="249"/>
      <c r="E2" s="46"/>
      <c r="F2" s="250"/>
      <c r="G2" s="250"/>
      <c r="H2" s="250"/>
    </row>
    <row r="3" spans="2:9" ht="24" customHeight="1" thickBot="1">
      <c r="B3" s="41"/>
      <c r="D3" s="250"/>
      <c r="E3" s="251"/>
      <c r="F3" s="250"/>
      <c r="G3" s="250"/>
      <c r="H3" s="250"/>
    </row>
    <row r="4" spans="2:9" ht="30.75" customHeight="1" thickBot="1">
      <c r="B4" s="438" t="s">
        <v>302</v>
      </c>
      <c r="C4" s="290" t="s">
        <v>285</v>
      </c>
      <c r="D4" s="269"/>
      <c r="E4" s="291" t="s">
        <v>286</v>
      </c>
    </row>
    <row r="5" spans="2:9" ht="30.75" customHeight="1" thickBot="1">
      <c r="B5" s="438"/>
      <c r="C5" s="292" t="s">
        <v>300</v>
      </c>
      <c r="D5" s="270"/>
      <c r="E5" s="268" t="s">
        <v>255</v>
      </c>
    </row>
    <row r="6" spans="2:9" ht="19.149999999999999" customHeight="1">
      <c r="B6" s="288" t="s">
        <v>76</v>
      </c>
      <c r="C6" s="262">
        <v>10000</v>
      </c>
      <c r="D6" s="271"/>
      <c r="E6" s="266">
        <f>(C9*2000)/E7</f>
        <v>9090.9090909090901</v>
      </c>
    </row>
    <row r="7" spans="2:9" ht="20.25" customHeight="1">
      <c r="B7" s="288" t="s">
        <v>78</v>
      </c>
      <c r="C7" s="262">
        <v>900</v>
      </c>
      <c r="D7" s="271"/>
      <c r="E7" s="260">
        <f>(C7+(C7*E8))</f>
        <v>990</v>
      </c>
    </row>
    <row r="8" spans="2:9" ht="20.25" customHeight="1">
      <c r="B8" s="288" t="s">
        <v>77</v>
      </c>
      <c r="C8" s="263">
        <v>0</v>
      </c>
      <c r="D8" s="271"/>
      <c r="E8" s="256">
        <v>0.1</v>
      </c>
    </row>
    <row r="9" spans="2:9" ht="20.25" customHeight="1">
      <c r="B9" s="288" t="s">
        <v>79</v>
      </c>
      <c r="C9" s="264">
        <f>(C6*C7)/2000</f>
        <v>4500</v>
      </c>
      <c r="D9" s="271"/>
      <c r="E9" s="260">
        <f>(E6*E7)/2000</f>
        <v>4500</v>
      </c>
    </row>
    <row r="10" spans="2:9" ht="20.25" customHeight="1">
      <c r="B10" s="288" t="s">
        <v>80</v>
      </c>
      <c r="C10" s="261">
        <v>36</v>
      </c>
      <c r="D10" s="271"/>
      <c r="E10" s="257">
        <f>SUM(C10)</f>
        <v>36</v>
      </c>
    </row>
    <row r="11" spans="2:9" ht="20.25" customHeight="1">
      <c r="B11" s="288" t="s">
        <v>81</v>
      </c>
      <c r="C11" s="261">
        <v>48</v>
      </c>
      <c r="D11" s="271"/>
      <c r="E11" s="257">
        <f>C11</f>
        <v>48</v>
      </c>
    </row>
    <row r="12" spans="2:9" ht="20.25" customHeight="1">
      <c r="B12" s="288" t="s">
        <v>82</v>
      </c>
      <c r="C12" s="261">
        <v>96</v>
      </c>
      <c r="D12" s="271"/>
      <c r="E12" s="258">
        <f>C12</f>
        <v>96</v>
      </c>
    </row>
    <row r="13" spans="2:9" ht="20.25" customHeight="1">
      <c r="B13" s="288" t="s">
        <v>304</v>
      </c>
      <c r="C13" s="261">
        <v>6</v>
      </c>
      <c r="D13" s="271"/>
      <c r="E13" s="257">
        <f>SUM(C13)</f>
        <v>6</v>
      </c>
    </row>
    <row r="14" spans="2:9" ht="20.25" customHeight="1">
      <c r="B14" s="288" t="s">
        <v>83</v>
      </c>
      <c r="C14" s="261">
        <v>30</v>
      </c>
      <c r="D14" s="271"/>
      <c r="E14" s="257">
        <f>SUM(C14)</f>
        <v>30</v>
      </c>
    </row>
    <row r="15" spans="2:9" ht="20.25" customHeight="1" thickBot="1">
      <c r="B15" s="289" t="s">
        <v>84</v>
      </c>
      <c r="C15" s="265">
        <f>(((C12*2)+(C10*2))*C13+24)/12</f>
        <v>134</v>
      </c>
      <c r="D15" s="272"/>
      <c r="E15" s="259">
        <f>(((E12*2)+(E10*2))*E13+24)/12</f>
        <v>134</v>
      </c>
    </row>
    <row r="16" spans="2:9" ht="20.25" customHeight="1">
      <c r="B16" s="432" t="s">
        <v>85</v>
      </c>
      <c r="C16" s="433"/>
      <c r="D16" s="433"/>
      <c r="E16" s="434"/>
      <c r="F16" s="1"/>
      <c r="G16" s="1"/>
      <c r="H16" s="1"/>
      <c r="I16" s="1"/>
    </row>
    <row r="17" spans="2:9">
      <c r="B17" s="42" t="s">
        <v>86</v>
      </c>
      <c r="C17" s="293" t="str">
        <f>C5</f>
        <v>Cordex 4000/ 550</v>
      </c>
      <c r="D17" s="273"/>
      <c r="E17" s="277" t="str">
        <f>E5</f>
        <v>John Deere IMPAX HD 4800/ 700</v>
      </c>
      <c r="F17" s="1"/>
      <c r="G17" s="1"/>
      <c r="H17" s="1"/>
      <c r="I17" s="1"/>
    </row>
    <row r="18" spans="2:9">
      <c r="B18" s="288" t="s">
        <v>301</v>
      </c>
      <c r="C18" s="261">
        <v>24</v>
      </c>
      <c r="D18" s="271"/>
      <c r="E18" s="309">
        <f>'Twine Data'!G12</f>
        <v>28.047367346086954</v>
      </c>
      <c r="G18" s="1"/>
      <c r="H18" s="1"/>
      <c r="I18" s="1"/>
    </row>
    <row r="19" spans="2:9" ht="20.25" customHeight="1">
      <c r="B19" s="288" t="s">
        <v>87</v>
      </c>
      <c r="C19" s="261">
        <v>550</v>
      </c>
      <c r="D19" s="271"/>
      <c r="E19" s="310">
        <f>'Twine Data'!G3</f>
        <v>700</v>
      </c>
      <c r="G19" s="1"/>
      <c r="H19" s="1"/>
      <c r="I19" s="1"/>
    </row>
    <row r="20" spans="2:9" ht="20.25" customHeight="1">
      <c r="B20" s="288" t="s">
        <v>88</v>
      </c>
      <c r="C20" s="261">
        <v>4000</v>
      </c>
      <c r="D20" s="271"/>
      <c r="E20" s="310">
        <f>'Twine Data'!G6</f>
        <v>4800</v>
      </c>
      <c r="G20" s="1"/>
      <c r="H20" s="1"/>
      <c r="I20" s="1"/>
    </row>
    <row r="21" spans="2:9" ht="20.25" customHeight="1">
      <c r="B21" s="288" t="s">
        <v>89</v>
      </c>
      <c r="C21" s="314">
        <v>-0.03</v>
      </c>
      <c r="D21" s="271"/>
      <c r="E21" s="311">
        <v>0</v>
      </c>
      <c r="G21" s="1"/>
      <c r="H21" s="1"/>
      <c r="I21" s="1"/>
    </row>
    <row r="22" spans="2:9" ht="20.25" customHeight="1">
      <c r="B22" s="288" t="s">
        <v>90</v>
      </c>
      <c r="C22" s="278">
        <f>(C21*C20)+C20</f>
        <v>3880</v>
      </c>
      <c r="D22" s="271"/>
      <c r="E22" s="312">
        <f t="shared" ref="E22" si="0">(E21*E20)+E20</f>
        <v>4800</v>
      </c>
      <c r="G22" s="1"/>
      <c r="H22" s="1"/>
      <c r="I22" s="1"/>
    </row>
    <row r="23" spans="2:9" ht="20.25" customHeight="1">
      <c r="B23" s="288" t="s">
        <v>91</v>
      </c>
      <c r="C23" s="315">
        <v>41.99</v>
      </c>
      <c r="D23" s="274"/>
      <c r="E23" s="308">
        <v>54</v>
      </c>
      <c r="G23" s="1"/>
      <c r="H23" s="1"/>
      <c r="I23" s="1"/>
    </row>
    <row r="24" spans="2:9" ht="15.4" thickBot="1">
      <c r="B24" s="289" t="s">
        <v>92</v>
      </c>
      <c r="C24" s="316">
        <v>48</v>
      </c>
      <c r="D24" s="272"/>
      <c r="E24" s="313">
        <f>'Twine Data'!G9</f>
        <v>36</v>
      </c>
      <c r="G24" s="1"/>
      <c r="H24" s="1"/>
      <c r="I24" s="1"/>
    </row>
    <row r="25" spans="2:9" ht="20.25" customHeight="1">
      <c r="B25" s="435" t="s">
        <v>85</v>
      </c>
      <c r="C25" s="436"/>
      <c r="D25" s="436"/>
      <c r="E25" s="437"/>
      <c r="G25" s="2"/>
      <c r="H25" s="1"/>
      <c r="I25" s="1"/>
    </row>
    <row r="26" spans="2:9" ht="19.149999999999999" customHeight="1">
      <c r="B26" s="43" t="s">
        <v>75</v>
      </c>
      <c r="C26" s="294" t="str">
        <f>C5</f>
        <v>Cordex 4000/ 550</v>
      </c>
      <c r="D26" s="275"/>
      <c r="E26" s="277" t="str">
        <f>E5</f>
        <v>John Deere IMPAX HD 4800/ 700</v>
      </c>
      <c r="G26" s="1"/>
      <c r="H26" s="1"/>
      <c r="I26" s="1"/>
    </row>
    <row r="27" spans="2:9">
      <c r="B27" s="286" t="s">
        <v>93</v>
      </c>
      <c r="C27" s="278">
        <f>(C22*C24)/C15</f>
        <v>1389.8507462686566</v>
      </c>
      <c r="D27" s="274"/>
      <c r="E27" s="279">
        <f>(E22*E24)/E15</f>
        <v>1289.5522388059701</v>
      </c>
      <c r="F27" s="1"/>
      <c r="G27" s="1"/>
      <c r="H27" s="1"/>
      <c r="I27" s="1"/>
    </row>
    <row r="28" spans="2:9">
      <c r="B28" s="286" t="s">
        <v>94</v>
      </c>
      <c r="C28" s="278">
        <f>(C14*C22)/C15</f>
        <v>868.6567164179105</v>
      </c>
      <c r="D28" s="274"/>
      <c r="E28" s="279">
        <f>(E14*E22)/E15</f>
        <v>1074.6268656716418</v>
      </c>
      <c r="F28" s="1"/>
    </row>
    <row r="29" spans="2:9">
      <c r="B29" s="286" t="s">
        <v>95</v>
      </c>
      <c r="C29" s="280">
        <f>C23/C22</f>
        <v>1.0822164948453609E-2</v>
      </c>
      <c r="D29" s="274"/>
      <c r="E29" s="281">
        <f>E23/E22</f>
        <v>1.125E-2</v>
      </c>
      <c r="F29" s="1"/>
    </row>
    <row r="30" spans="2:9">
      <c r="B30" s="286" t="s">
        <v>96</v>
      </c>
      <c r="C30" s="282">
        <f>C29*C15</f>
        <v>1.4501701030927836</v>
      </c>
      <c r="D30" s="274"/>
      <c r="E30" s="283">
        <f>E29*E15</f>
        <v>1.5074999999999998</v>
      </c>
      <c r="F30" s="1"/>
    </row>
    <row r="31" spans="2:9">
      <c r="B31" s="286" t="s">
        <v>97</v>
      </c>
      <c r="C31" s="278">
        <f>(C15*C6)/C22</f>
        <v>345.36082474226805</v>
      </c>
      <c r="D31" s="274"/>
      <c r="E31" s="279">
        <f>(E15*E6)/E22</f>
        <v>253.78787878787878</v>
      </c>
      <c r="F31" s="1"/>
    </row>
    <row r="32" spans="2:9" ht="15.4" thickBot="1">
      <c r="B32" s="287" t="s">
        <v>98</v>
      </c>
      <c r="C32" s="284">
        <f>C31*C23</f>
        <v>14501.701030927836</v>
      </c>
      <c r="D32" s="276"/>
      <c r="E32" s="285">
        <f>E31*E23</f>
        <v>13704.545454545454</v>
      </c>
      <c r="F32" s="2"/>
    </row>
    <row r="33" spans="2:6">
      <c r="B33" s="44"/>
      <c r="E33" s="45"/>
      <c r="F33" s="2"/>
    </row>
    <row r="34" spans="2:6" ht="15.4" thickBot="1">
      <c r="B34" s="429" t="str">
        <f>"By choosing IMPAX, you'll need "&amp;ROUNDUP((C31-E31),0)&amp;" spools less and you'll save $"&amp;ROUNDUP((C32-E32),2)&amp;" in twine cost"</f>
        <v>By choosing IMPAX, you'll need 92 spools less and you'll save $797.16 in twine cost</v>
      </c>
      <c r="C34" s="430"/>
      <c r="D34" s="430"/>
      <c r="E34" s="431"/>
    </row>
    <row r="35" spans="2:6" ht="30" customHeight="1" thickTop="1">
      <c r="F35" s="1"/>
    </row>
    <row r="44" spans="2:6" ht="15.4" customHeight="1"/>
  </sheetData>
  <sheetProtection algorithmName="SHA-512" hashValue="Y3lI+OCWnjYAPXp6MYZ7M4AJz5F4LN0o4JLSr6MPaOqMs/ze0om127JwbJZLVioRUdcC0s2cLFUjj0iX8Vi68A==" saltValue="+MWfNfxVwnb6NQDXT7fTDQ==" spinCount="100000" sheet="1" objects="1" scenarios="1" selectLockedCells="1"/>
  <customSheetViews>
    <customSheetView guid="{C9E71BE1-D4DA-4D20-8F4B-0CB148DAA91F}" scale="115" showPageBreaks="1">
      <selection activeCell="G10" sqref="G10"/>
      <pageMargins left="0" right="0" top="0" bottom="0" header="0" footer="0"/>
      <pageSetup paperSize="9" orientation="portrait" horizontalDpi="4294967293" verticalDpi="0" r:id="rId1"/>
    </customSheetView>
  </customSheetViews>
  <mergeCells count="4">
    <mergeCell ref="B34:E34"/>
    <mergeCell ref="B16:E16"/>
    <mergeCell ref="B25:E25"/>
    <mergeCell ref="B4:B5"/>
  </mergeCells>
  <printOptions horizontalCentered="1" verticalCentered="1"/>
  <pageMargins left="0" right="0" top="0" bottom="0" header="0" footer="0"/>
  <pageSetup paperSize="9" orientation="portrait" r:id="rId2"/>
  <headerFooter scaleWithDoc="0"/>
  <ignoredErrors>
    <ignoredError sqref="C9 C22 E22" unlockedFormula="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8D5F1F4-467A-436C-8437-7C6C2C1FDCE6}">
          <x14:formula1>
            <xm:f>'Net Data'!$F$4:$F$13</xm:f>
          </x14:formula1>
          <xm:sqref>E8</xm:sqref>
        </x14:dataValidation>
        <x14:dataValidation type="list" allowBlank="1" showInputMessage="1" showErrorMessage="1" xr:uid="{130773F0-F091-4319-AF7A-510BB655C129}">
          <x14:formula1>
            <xm:f>'Twine Data'!$A$3:$A$29</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14456-5D1B-443C-90C5-2401BE10456A}">
  <sheetPr>
    <tabColor theme="7"/>
  </sheetPr>
  <dimension ref="B1:J22"/>
  <sheetViews>
    <sheetView showGridLines="0" showRuler="0" topLeftCell="A3" zoomScaleNormal="100" zoomScaleSheetLayoutView="115" workbookViewId="0">
      <selection activeCell="C12" sqref="C12"/>
    </sheetView>
  </sheetViews>
  <sheetFormatPr defaultColWidth="8.77734375" defaultRowHeight="15"/>
  <cols>
    <col min="2" max="2" width="32" customWidth="1"/>
    <col min="3" max="3" width="22.77734375" customWidth="1"/>
    <col min="4" max="4" width="1.77734375" customWidth="1"/>
    <col min="5" max="5" width="30.1640625" customWidth="1"/>
    <col min="6" max="6" width="1.21875" customWidth="1"/>
    <col min="7" max="7" width="5.5546875" customWidth="1"/>
    <col min="8" max="8" width="4.21875" customWidth="1"/>
    <col min="9" max="9" width="1" customWidth="1"/>
  </cols>
  <sheetData>
    <row r="1" spans="2:10" ht="102" customHeight="1">
      <c r="B1" s="439"/>
      <c r="C1" s="439"/>
      <c r="D1" s="439"/>
      <c r="E1" s="439"/>
      <c r="F1" s="439"/>
      <c r="G1" s="3"/>
      <c r="H1" s="3"/>
      <c r="I1" s="3"/>
    </row>
    <row r="2" spans="2:10" ht="25.15">
      <c r="B2" s="4"/>
      <c r="D2" s="250"/>
      <c r="E2" s="252"/>
      <c r="F2" s="3"/>
      <c r="G2" s="250"/>
      <c r="H2" s="250"/>
      <c r="I2" s="250"/>
    </row>
    <row r="3" spans="2:10">
      <c r="B3" s="6" t="s">
        <v>99</v>
      </c>
      <c r="C3" s="306" t="str">
        <f>'Impax Cost Comparison'!C5</f>
        <v>Cordex 4000/ 550</v>
      </c>
      <c r="D3" s="307"/>
      <c r="E3" s="440" t="str">
        <f>'Impax Cost Comparison'!E5</f>
        <v>John Deere IMPAX HD 4800/ 700</v>
      </c>
      <c r="F3" s="440"/>
    </row>
    <row r="4" spans="2:10" ht="20.25" customHeight="1">
      <c r="B4" s="317" t="s">
        <v>80</v>
      </c>
      <c r="C4" s="295">
        <f>'Impax Cost Comparison'!C10</f>
        <v>36</v>
      </c>
      <c r="D4" s="299"/>
      <c r="E4" s="295">
        <f>SUM(C4)</f>
        <v>36</v>
      </c>
      <c r="F4" s="9"/>
    </row>
    <row r="5" spans="2:10" ht="20.25" customHeight="1">
      <c r="B5" s="317" t="s">
        <v>82</v>
      </c>
      <c r="C5" s="295">
        <f>'Impax Cost Comparison'!C12</f>
        <v>96</v>
      </c>
      <c r="D5" s="299"/>
      <c r="E5" s="298">
        <f>C5</f>
        <v>96</v>
      </c>
      <c r="F5" s="9"/>
    </row>
    <row r="6" spans="2:10" ht="20.25" customHeight="1">
      <c r="B6" s="317" t="s">
        <v>81</v>
      </c>
      <c r="C6" s="296">
        <f>'Impax Cost Comparison'!C11</f>
        <v>48</v>
      </c>
      <c r="D6" s="299"/>
      <c r="E6" s="295">
        <f>SUM(C6)</f>
        <v>48</v>
      </c>
      <c r="F6" s="9"/>
    </row>
    <row r="7" spans="2:10" ht="20.25" customHeight="1">
      <c r="B7" s="317" t="s">
        <v>100</v>
      </c>
      <c r="C7" s="296">
        <f>(C4*C5*C6)/1728</f>
        <v>96</v>
      </c>
      <c r="D7" s="299"/>
      <c r="E7" s="295">
        <f>C7*1.1</f>
        <v>105.60000000000001</v>
      </c>
      <c r="F7" s="9"/>
    </row>
    <row r="8" spans="2:10" ht="20.25" customHeight="1">
      <c r="B8" s="318" t="s">
        <v>303</v>
      </c>
      <c r="C8" s="297">
        <f>'Impax Cost Comparison'!C7</f>
        <v>900</v>
      </c>
      <c r="D8" s="300"/>
      <c r="E8" s="297">
        <f>'Impax Cost Comparison'!E7</f>
        <v>990</v>
      </c>
      <c r="F8" s="10"/>
      <c r="G8" s="1"/>
      <c r="H8" s="1"/>
      <c r="I8" s="1"/>
      <c r="J8" s="1"/>
    </row>
    <row r="9" spans="2:10">
      <c r="B9" s="1"/>
      <c r="C9" s="1"/>
      <c r="D9" s="1"/>
      <c r="E9" s="1"/>
      <c r="F9" s="1"/>
      <c r="G9" s="1"/>
      <c r="H9" s="1"/>
      <c r="I9" s="1"/>
      <c r="J9" s="1"/>
    </row>
    <row r="10" spans="2:10">
      <c r="B10" s="5" t="s">
        <v>101</v>
      </c>
      <c r="C10" s="321" t="str">
        <f>C3</f>
        <v>Cordex 4000/ 550</v>
      </c>
      <c r="D10" s="301"/>
      <c r="E10" s="443" t="str">
        <f>E3</f>
        <v>John Deere IMPAX HD 4800/ 700</v>
      </c>
      <c r="F10" s="443"/>
      <c r="H10" s="1"/>
      <c r="I10" s="1"/>
      <c r="J10" s="1"/>
    </row>
    <row r="11" spans="2:10" ht="20.25" customHeight="1">
      <c r="B11" s="318" t="s">
        <v>299</v>
      </c>
      <c r="C11" s="21">
        <f>('Impax Cost Comparison'!C6*C8)/2000</f>
        <v>4500</v>
      </c>
      <c r="D11" s="299"/>
      <c r="E11" s="21">
        <f>SUM(C11)</f>
        <v>4500</v>
      </c>
      <c r="F11" s="9"/>
      <c r="H11" s="1"/>
      <c r="I11" s="1"/>
      <c r="J11" s="1"/>
    </row>
    <row r="12" spans="2:10">
      <c r="B12" s="317" t="s">
        <v>102</v>
      </c>
      <c r="C12" s="36">
        <v>48</v>
      </c>
      <c r="D12" s="302"/>
      <c r="E12" s="22">
        <f>SUM(C12)</f>
        <v>48</v>
      </c>
      <c r="F12" s="9"/>
      <c r="H12" s="1"/>
      <c r="I12" s="1"/>
      <c r="J12" s="1"/>
    </row>
    <row r="13" spans="2:10">
      <c r="B13" s="317" t="s">
        <v>103</v>
      </c>
      <c r="C13" s="37">
        <v>3.5</v>
      </c>
      <c r="D13" s="303"/>
      <c r="E13" s="23">
        <f>SUM(C13)</f>
        <v>3.5</v>
      </c>
      <c r="F13" s="9"/>
      <c r="H13" s="1"/>
      <c r="I13" s="1"/>
      <c r="J13" s="1"/>
    </row>
    <row r="14" spans="2:10" ht="15.4" thickBot="1">
      <c r="B14" s="319" t="s">
        <v>104</v>
      </c>
      <c r="C14" s="38">
        <v>50</v>
      </c>
      <c r="D14" s="304"/>
      <c r="E14" s="24">
        <v>50</v>
      </c>
      <c r="F14" s="25"/>
      <c r="H14" s="1"/>
      <c r="I14" s="1"/>
      <c r="J14" s="1"/>
    </row>
    <row r="15" spans="2:10" ht="15.4">
      <c r="B15" s="442" t="s">
        <v>85</v>
      </c>
      <c r="C15" s="442"/>
      <c r="D15" s="442"/>
      <c r="E15" s="442"/>
      <c r="F15" s="442"/>
    </row>
    <row r="16" spans="2:10">
      <c r="B16" s="11" t="s">
        <v>75</v>
      </c>
      <c r="C16" s="322" t="str">
        <f>C10</f>
        <v>Cordex 4000/ 550</v>
      </c>
      <c r="D16" s="307"/>
      <c r="E16" s="440" t="str">
        <f>E10</f>
        <v>John Deere IMPAX HD 4800/ 700</v>
      </c>
      <c r="F16" s="440"/>
      <c r="G16" s="1"/>
      <c r="H16" s="1"/>
      <c r="I16" s="1"/>
      <c r="J16" s="1"/>
    </row>
    <row r="17" spans="2:7">
      <c r="B17" s="320" t="s">
        <v>76</v>
      </c>
      <c r="C17" s="12">
        <f>(C11*2000)/C8</f>
        <v>10000</v>
      </c>
      <c r="D17" s="305"/>
      <c r="E17" s="12">
        <f>(E11*2000)/E8</f>
        <v>9090.9090909090901</v>
      </c>
      <c r="F17" s="7"/>
      <c r="G17" s="1"/>
    </row>
    <row r="18" spans="2:7">
      <c r="B18" s="320" t="s">
        <v>105</v>
      </c>
      <c r="C18" s="13">
        <f>(C17/C12)</f>
        <v>208.33333333333334</v>
      </c>
      <c r="D18" s="305"/>
      <c r="E18" s="12">
        <f>SUM(E17/E12)</f>
        <v>189.39393939393938</v>
      </c>
      <c r="F18" s="7"/>
      <c r="G18" s="1"/>
    </row>
    <row r="19" spans="2:7">
      <c r="B19" s="320" t="s">
        <v>106</v>
      </c>
      <c r="C19" s="13">
        <f>SUM(C8*C12)</f>
        <v>43200</v>
      </c>
      <c r="D19" s="302"/>
      <c r="E19" s="12">
        <f>SUM(E8*E12)</f>
        <v>47520</v>
      </c>
      <c r="F19" s="8"/>
      <c r="G19" s="1"/>
    </row>
    <row r="20" spans="2:7">
      <c r="B20" s="320" t="s">
        <v>107</v>
      </c>
      <c r="C20" s="19">
        <f>(C14*C13)*C18</f>
        <v>36458.333333333336</v>
      </c>
      <c r="D20" s="302"/>
      <c r="E20" s="20">
        <f>SUM(E18*E13*E14)</f>
        <v>33143.939393939385</v>
      </c>
      <c r="F20" s="8"/>
      <c r="G20" s="2"/>
    </row>
    <row r="22" spans="2:7" ht="30" customHeight="1">
      <c r="B22" s="441" t="str">
        <f>"By choosing IMPAX, you'll need "&amp;ROUNDUP((C18-E18), 0)&amp;" trucks less per year and you'll save $"&amp;ROUNDUP((C20-E20), 2)&amp;" on transport cost"</f>
        <v>By choosing IMPAX, you'll need 19 trucks less per year and you'll save $3314.4 on transport cost</v>
      </c>
      <c r="C22" s="441"/>
      <c r="D22" s="441"/>
      <c r="E22" s="441"/>
      <c r="F22" s="441"/>
      <c r="G22" s="1"/>
    </row>
  </sheetData>
  <sheetProtection algorithmName="SHA-512" hashValue="osOtTLQo84Ut2eoBUSHRiAUiBWXRo0VNWAp/ZsOphnqgcowy2yPhD4GRtrtDc3w8x2rjthj81FemE5Z1WGaqaw==" saltValue="XuCNaWY0jYm6kap6zQYm1g==" spinCount="100000" sheet="1" objects="1" scenarios="1" selectLockedCells="1"/>
  <mergeCells count="6">
    <mergeCell ref="B1:F1"/>
    <mergeCell ref="E3:F3"/>
    <mergeCell ref="B22:F22"/>
    <mergeCell ref="E16:F16"/>
    <mergeCell ref="B15:F15"/>
    <mergeCell ref="E10:F10"/>
  </mergeCells>
  <printOptions horizontalCentered="1" verticalCentered="1"/>
  <pageMargins left="0" right="0" top="0" bottom="0" header="0.31496062992125984" footer="0.31496062992125984"/>
  <pageSetup paperSize="9" orientation="portrait" r:id="rId1"/>
  <ignoredErrors>
    <ignoredError sqref="C6:C7" unlockedFormula="1"/>
    <ignoredError sqref="E5"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EA3C7-FB9F-4949-871A-0B34E65E838D}">
  <dimension ref="A7:H48"/>
  <sheetViews>
    <sheetView showGridLines="0" tabSelected="1" topLeftCell="A5" zoomScale="80" zoomScaleNormal="80" zoomScaleSheetLayoutView="85" workbookViewId="0">
      <selection activeCell="J39" sqref="J39"/>
    </sheetView>
  </sheetViews>
  <sheetFormatPr defaultColWidth="11.5546875" defaultRowHeight="15"/>
  <cols>
    <col min="2" max="2" width="15.44140625" customWidth="1"/>
    <col min="4" max="4" width="28.0546875" customWidth="1"/>
    <col min="6" max="6" width="37.21875" customWidth="1"/>
    <col min="7" max="7" width="6.77734375" customWidth="1"/>
    <col min="8" max="8" width="9.5546875" customWidth="1"/>
  </cols>
  <sheetData>
    <row r="7" spans="1:8" ht="61.5" customHeight="1"/>
    <row r="10" spans="1:8" ht="15" customHeight="1">
      <c r="A10" s="446" t="s">
        <v>297</v>
      </c>
      <c r="B10" s="447"/>
      <c r="C10" s="447"/>
      <c r="D10" s="447"/>
      <c r="E10" s="447"/>
      <c r="F10" s="447"/>
      <c r="G10" s="447"/>
      <c r="H10" s="447"/>
    </row>
    <row r="11" spans="1:8" ht="15" customHeight="1">
      <c r="A11" s="447"/>
      <c r="B11" s="447"/>
      <c r="C11" s="447"/>
      <c r="D11" s="447"/>
      <c r="E11" s="447"/>
      <c r="F11" s="447"/>
      <c r="G11" s="447"/>
      <c r="H11" s="447"/>
    </row>
    <row r="12" spans="1:8" ht="15" customHeight="1">
      <c r="A12" s="447"/>
      <c r="B12" s="447"/>
      <c r="C12" s="447"/>
      <c r="D12" s="447"/>
      <c r="E12" s="447"/>
      <c r="F12" s="447"/>
      <c r="G12" s="447"/>
      <c r="H12" s="447"/>
    </row>
    <row r="13" spans="1:8" ht="15" customHeight="1">
      <c r="A13" s="447"/>
      <c r="B13" s="447"/>
      <c r="C13" s="447"/>
      <c r="D13" s="447"/>
      <c r="E13" s="447"/>
      <c r="F13" s="447"/>
      <c r="G13" s="447"/>
      <c r="H13" s="447"/>
    </row>
    <row r="14" spans="1:8" ht="15" customHeight="1">
      <c r="A14" s="447"/>
      <c r="B14" s="447"/>
      <c r="C14" s="447"/>
      <c r="D14" s="447"/>
      <c r="E14" s="447"/>
      <c r="F14" s="447"/>
      <c r="G14" s="447"/>
      <c r="H14" s="447"/>
    </row>
    <row r="15" spans="1:8" ht="15" customHeight="1">
      <c r="A15" s="447"/>
      <c r="B15" s="447"/>
      <c r="C15" s="447"/>
      <c r="D15" s="447"/>
      <c r="E15" s="447"/>
      <c r="F15" s="447"/>
      <c r="G15" s="447"/>
      <c r="H15" s="447"/>
    </row>
    <row r="16" spans="1:8" ht="15" customHeight="1">
      <c r="A16" s="447"/>
      <c r="B16" s="447"/>
      <c r="C16" s="447"/>
      <c r="D16" s="447"/>
      <c r="E16" s="447"/>
      <c r="F16" s="447"/>
      <c r="G16" s="447"/>
      <c r="H16" s="447"/>
    </row>
    <row r="17" spans="1:8" ht="20.25">
      <c r="A17" s="448" t="s">
        <v>298</v>
      </c>
      <c r="B17" s="448"/>
      <c r="C17" s="448"/>
      <c r="D17" s="448"/>
      <c r="E17" s="448"/>
      <c r="F17" s="448"/>
      <c r="G17" s="448"/>
      <c r="H17" s="448"/>
    </row>
    <row r="18" spans="1:8">
      <c r="A18" s="15"/>
      <c r="B18" s="16"/>
      <c r="C18" s="16"/>
      <c r="D18" s="16"/>
      <c r="E18" s="16"/>
      <c r="F18" s="16"/>
      <c r="G18" s="16"/>
      <c r="H18" s="16"/>
    </row>
    <row r="19" spans="1:8" ht="27.75" customHeight="1">
      <c r="A19" s="449" t="s">
        <v>108</v>
      </c>
      <c r="B19" s="449"/>
      <c r="C19" s="449"/>
      <c r="D19" s="449"/>
      <c r="E19" s="449"/>
      <c r="F19" s="449"/>
      <c r="G19" s="449"/>
      <c r="H19" s="18"/>
    </row>
    <row r="20" spans="1:8" ht="13.5" customHeight="1">
      <c r="A20" s="18"/>
      <c r="B20" s="18"/>
      <c r="C20" s="18"/>
      <c r="D20" s="18"/>
      <c r="E20" s="18"/>
      <c r="F20" s="18"/>
      <c r="G20" s="18"/>
      <c r="H20" s="18"/>
    </row>
    <row r="21" spans="1:8" ht="30.75" customHeight="1">
      <c r="B21" s="17"/>
      <c r="C21" s="17"/>
      <c r="D21" s="17"/>
      <c r="E21" s="17"/>
      <c r="F21" s="17"/>
      <c r="G21" s="17"/>
      <c r="H21" s="17"/>
    </row>
    <row r="22" spans="1:8" ht="25.15">
      <c r="B22" s="445" t="str">
        <f>"You'll save "&amp;ROUNDUP(('Impax Cost Comparison'!C31-'Impax Cost Comparison'!E31),0)&amp;" spools per year"</f>
        <v>You'll save 92 spools per year</v>
      </c>
      <c r="C22" s="445"/>
      <c r="D22" s="445"/>
      <c r="E22" s="445"/>
      <c r="F22" s="445"/>
      <c r="G22" s="445"/>
      <c r="H22" s="14"/>
    </row>
    <row r="23" spans="1:8" ht="25.15">
      <c r="B23" s="27" t="str">
        <f>"You'll use "&amp;ROUNDUP((('Impax Cost Comparison'!C18*'Impax Cost Comparison'!C31)-('Impax Cost Comparison'!E18*'Impax Cost Comparison'!E31)),0)&amp;" lbs less plastic per year"</f>
        <v>You'll use 1171 lbs less plastic per year</v>
      </c>
      <c r="C23" s="26"/>
      <c r="D23" s="26"/>
      <c r="E23" s="26"/>
      <c r="F23" s="26"/>
      <c r="G23" s="26"/>
      <c r="H23" s="14"/>
    </row>
    <row r="24" spans="1:8" ht="25.15">
      <c r="B24" s="28" t="str">
        <f>"You'll save $"&amp;ROUNDUP(('Impax Cost Comparison'!C32-'Impax Cost Comparison'!E32),0)&amp;" on twine cost"</f>
        <v>You'll save $798 on twine cost</v>
      </c>
      <c r="C24" s="29"/>
      <c r="D24" s="29"/>
      <c r="E24" s="29"/>
      <c r="F24" s="29"/>
      <c r="G24" s="29"/>
      <c r="H24" s="14"/>
    </row>
    <row r="25" spans="1:8" ht="25.15">
      <c r="B25" s="30" t="str">
        <f>"You'll produce "&amp;ROUNDUP(('Impax Transport Savings'!$C$17-'Impax Transport Savings'!$E$17),0)&amp;" less bales per year"</f>
        <v>You'll produce 910 less bales per year</v>
      </c>
      <c r="C25" s="31"/>
      <c r="D25" s="31"/>
      <c r="E25" s="31"/>
      <c r="F25" s="31"/>
      <c r="G25" s="31"/>
    </row>
    <row r="26" spans="1:8" ht="25.15">
      <c r="B26" s="32" t="str">
        <f>"You'll load "&amp;ROUNDUP(('Impax Transport Savings'!$C$18-'Impax Transport Savings'!$E$18),0)&amp;" less trucks per year"</f>
        <v>You'll load 19 less trucks per year</v>
      </c>
      <c r="C26" s="33"/>
      <c r="D26" s="33"/>
      <c r="E26" s="33"/>
      <c r="F26" s="31"/>
      <c r="G26" s="31"/>
    </row>
    <row r="27" spans="1:8" ht="25.15">
      <c r="B27" s="29" t="str">
        <f>"You'll save $"&amp;ROUNDUP(('Impax Transport Savings'!C20-'Impax Transport Savings'!E20),0)&amp;" in transportation costs"</f>
        <v>You'll save $3315 in transportation costs</v>
      </c>
      <c r="C27" s="31"/>
      <c r="D27" s="31"/>
      <c r="E27" s="31"/>
      <c r="F27" s="31"/>
      <c r="G27" s="31"/>
    </row>
    <row r="28" spans="1:8" ht="24.75">
      <c r="B28" s="34"/>
      <c r="C28" s="34"/>
      <c r="D28" s="34"/>
      <c r="E28" s="34"/>
      <c r="F28" s="34"/>
      <c r="G28" s="34"/>
    </row>
    <row r="29" spans="1:8" ht="25.15">
      <c r="B29" s="444" t="s">
        <v>109</v>
      </c>
      <c r="C29" s="444"/>
      <c r="D29" s="444"/>
      <c r="E29" s="444"/>
      <c r="F29" s="35">
        <f>SUM('Impax Cost Comparison'!C32-'Impax Cost Comparison'!E32+'Impax Transport Savings'!C20-'Impax Transport Savings'!E20)</f>
        <v>4111.5495157763289</v>
      </c>
      <c r="G29" s="34"/>
    </row>
    <row r="31" spans="1:8" ht="15.4" thickBot="1"/>
    <row r="32" spans="1:8" ht="32.25" customHeight="1" thickBot="1">
      <c r="A32" s="453" t="s">
        <v>110</v>
      </c>
      <c r="B32" s="454"/>
      <c r="C32" s="454"/>
      <c r="D32" s="454"/>
      <c r="E32" s="454"/>
      <c r="F32" s="454"/>
      <c r="G32" s="454"/>
      <c r="H32" s="455"/>
    </row>
    <row r="33" spans="1:8">
      <c r="A33" s="65"/>
      <c r="B33" s="66"/>
      <c r="C33" s="66"/>
      <c r="D33" s="66"/>
      <c r="E33" s="66"/>
      <c r="F33" s="66"/>
      <c r="G33" s="66"/>
      <c r="H33" s="67"/>
    </row>
    <row r="34" spans="1:8" ht="27.75" customHeight="1">
      <c r="A34" s="68"/>
      <c r="C34" s="456" t="str">
        <f>'Impax Cost Comparison'!C5</f>
        <v>Cordex 4000/ 550</v>
      </c>
      <c r="D34" s="456"/>
      <c r="F34" s="70" t="str">
        <f>'Impax Cost Comparison'!E5</f>
        <v>John Deere IMPAX HD 4800/ 700</v>
      </c>
      <c r="H34" s="71"/>
    </row>
    <row r="35" spans="1:8">
      <c r="A35" s="68"/>
      <c r="H35" s="71"/>
    </row>
    <row r="36" spans="1:8" ht="32.65" customHeight="1">
      <c r="A36" s="457" t="s">
        <v>111</v>
      </c>
      <c r="B36" s="458"/>
      <c r="C36" s="459">
        <f>'Impax Cost Comparison'!C31/'Impax Cost Comparison'!C14</f>
        <v>11.512027491408935</v>
      </c>
      <c r="D36" s="459"/>
      <c r="E36" s="72"/>
      <c r="F36" s="78">
        <f>'Impax Cost Comparison'!E31/'Impax Cost Comparison'!E14</f>
        <v>8.4595959595959602</v>
      </c>
      <c r="H36" s="71"/>
    </row>
    <row r="37" spans="1:8" ht="22.15">
      <c r="A37" s="68"/>
      <c r="C37" s="70"/>
      <c r="D37" s="70"/>
      <c r="E37" s="72"/>
      <c r="F37" s="69"/>
      <c r="H37" s="71"/>
    </row>
    <row r="38" spans="1:8" ht="35.65" customHeight="1">
      <c r="A38" s="457" t="s">
        <v>112</v>
      </c>
      <c r="B38" s="458"/>
      <c r="C38" s="456">
        <f>'Impax Cost Comparison'!C6*0.03</f>
        <v>300</v>
      </c>
      <c r="D38" s="456"/>
      <c r="E38" s="72"/>
      <c r="F38" s="78">
        <f>'Impax Cost Comparison'!E6*0.005</f>
        <v>45.454545454545453</v>
      </c>
      <c r="H38" s="71"/>
    </row>
    <row r="39" spans="1:8" ht="22.15">
      <c r="A39" s="68"/>
      <c r="C39" s="70"/>
      <c r="D39" s="70"/>
      <c r="E39" s="72"/>
      <c r="F39" s="69"/>
      <c r="H39" s="71"/>
    </row>
    <row r="40" spans="1:8" ht="36.75" customHeight="1">
      <c r="A40" s="457" t="s">
        <v>113</v>
      </c>
      <c r="B40" s="458"/>
      <c r="C40" s="456">
        <f>'Impax Cost Comparison'!C6*0.015</f>
        <v>150</v>
      </c>
      <c r="D40" s="456"/>
      <c r="E40" s="72"/>
      <c r="F40" s="78">
        <f>'Impax Cost Comparison'!E6*0.0032</f>
        <v>29.09090909090909</v>
      </c>
      <c r="H40" s="71"/>
    </row>
    <row r="41" spans="1:8">
      <c r="A41" s="68"/>
      <c r="H41" s="71"/>
    </row>
    <row r="42" spans="1:8">
      <c r="A42" s="68"/>
      <c r="H42" s="71"/>
    </row>
    <row r="43" spans="1:8">
      <c r="A43" s="68"/>
      <c r="H43" s="71"/>
    </row>
    <row r="44" spans="1:8" ht="53.25" customHeight="1">
      <c r="A44" s="450" t="s">
        <v>114</v>
      </c>
      <c r="B44" s="451"/>
      <c r="C44" s="452">
        <f>(((C36*1)+(C38*0.1)+(C40*0.2)))</f>
        <v>71.512027491408929</v>
      </c>
      <c r="D44" s="452"/>
      <c r="E44" s="80"/>
      <c r="F44" s="79">
        <f>(((F36*1)+(F38*0.1)+(F40*0.2)))</f>
        <v>18.823232323232325</v>
      </c>
      <c r="H44" s="71"/>
    </row>
    <row r="45" spans="1:8">
      <c r="A45" s="68"/>
      <c r="H45" s="71"/>
    </row>
    <row r="46" spans="1:8">
      <c r="A46" s="68"/>
      <c r="H46" s="71"/>
    </row>
    <row r="47" spans="1:8" ht="34.9" customHeight="1">
      <c r="A47" s="68"/>
      <c r="D47" s="73" t="s">
        <v>115</v>
      </c>
      <c r="E47" s="81">
        <f>C44-F44</f>
        <v>52.688795168176604</v>
      </c>
      <c r="F47" s="74"/>
      <c r="H47" s="71"/>
    </row>
    <row r="48" spans="1:8" ht="15.4" thickBot="1">
      <c r="A48" s="75"/>
      <c r="B48" s="76"/>
      <c r="C48" s="76"/>
      <c r="D48" s="76"/>
      <c r="E48" s="76"/>
      <c r="F48" s="76"/>
      <c r="G48" s="76"/>
      <c r="H48" s="77"/>
    </row>
  </sheetData>
  <sheetProtection algorithmName="SHA-512" hashValue="cnVEhLJWIEMr5Fw4sDApyJdLKAoieGOk/PJKRNxZB38WxD655Hn/aNcxn05hC6mpNinhk+x5Gz5QjuEBHnVnjw==" saltValue="MhpDUy26+OEL5X9jQtoInA==" spinCount="100000" sheet="1" objects="1" scenarios="1" selectLockedCells="1" selectUnlockedCells="1"/>
  <mergeCells count="15">
    <mergeCell ref="A44:B44"/>
    <mergeCell ref="C44:D44"/>
    <mergeCell ref="A32:H32"/>
    <mergeCell ref="C34:D34"/>
    <mergeCell ref="A36:B36"/>
    <mergeCell ref="A38:B38"/>
    <mergeCell ref="A40:B40"/>
    <mergeCell ref="C36:D36"/>
    <mergeCell ref="C38:D38"/>
    <mergeCell ref="C40:D40"/>
    <mergeCell ref="B29:E29"/>
    <mergeCell ref="B22:G22"/>
    <mergeCell ref="A10:H16"/>
    <mergeCell ref="A17:H17"/>
    <mergeCell ref="A19:G19"/>
  </mergeCells>
  <pageMargins left="0.70866141732283472" right="0.70866141732283472" top="0.74803149606299213" bottom="0.74803149606299213" header="0.31496062992125984" footer="0.31496062992125984"/>
  <pageSetup scale="8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E181D-7A06-4F8E-8227-6542D6D450D7}">
  <dimension ref="A2:G60"/>
  <sheetViews>
    <sheetView workbookViewId="0">
      <selection activeCell="G20" sqref="G20"/>
    </sheetView>
  </sheetViews>
  <sheetFormatPr defaultRowHeight="15"/>
  <cols>
    <col min="1" max="1" width="38.44140625" customWidth="1"/>
    <col min="2" max="2" width="14.94140625" customWidth="1"/>
    <col min="3" max="3" width="13.1640625" customWidth="1"/>
    <col min="4" max="4" width="11.77734375" customWidth="1"/>
    <col min="5" max="5" width="15" customWidth="1"/>
    <col min="6" max="6" width="10.33203125" customWidth="1"/>
    <col min="7" max="7" width="16.609375" customWidth="1"/>
  </cols>
  <sheetData>
    <row r="2" spans="1:7">
      <c r="A2" t="s">
        <v>254</v>
      </c>
      <c r="B2" t="s">
        <v>282</v>
      </c>
      <c r="C2" t="s">
        <v>283</v>
      </c>
      <c r="D2" t="s">
        <v>284</v>
      </c>
      <c r="E2" t="s">
        <v>295</v>
      </c>
      <c r="G2" t="s">
        <v>287</v>
      </c>
    </row>
    <row r="3" spans="1:7">
      <c r="A3" t="s">
        <v>255</v>
      </c>
      <c r="B3">
        <v>4800</v>
      </c>
      <c r="C3">
        <v>700</v>
      </c>
      <c r="D3">
        <v>36</v>
      </c>
      <c r="E3" s="267">
        <f t="shared" ref="E3:E29" si="0">F34</f>
        <v>28.047367346086954</v>
      </c>
      <c r="G3">
        <f>VLOOKUP('Impax Cost Comparison'!E17,A3:C29,3,FALSE)</f>
        <v>700</v>
      </c>
    </row>
    <row r="4" spans="1:7">
      <c r="A4" t="s">
        <v>256</v>
      </c>
      <c r="B4">
        <v>5000</v>
      </c>
      <c r="C4">
        <v>600</v>
      </c>
      <c r="D4">
        <v>36</v>
      </c>
      <c r="E4" s="267">
        <f t="shared" si="0"/>
        <v>26.455439999999996</v>
      </c>
    </row>
    <row r="5" spans="1:7">
      <c r="A5" t="s">
        <v>257</v>
      </c>
      <c r="B5">
        <v>4700</v>
      </c>
      <c r="C5">
        <v>600</v>
      </c>
      <c r="D5">
        <v>48</v>
      </c>
      <c r="E5" s="267">
        <f t="shared" si="0"/>
        <v>24.868113600000001</v>
      </c>
      <c r="G5" t="s">
        <v>288</v>
      </c>
    </row>
    <row r="6" spans="1:7">
      <c r="A6" t="s">
        <v>258</v>
      </c>
      <c r="B6">
        <v>5200</v>
      </c>
      <c r="C6">
        <v>500</v>
      </c>
      <c r="D6">
        <v>36</v>
      </c>
      <c r="E6" s="267">
        <f t="shared" si="0"/>
        <v>27.513657599999998</v>
      </c>
      <c r="G6">
        <f>VLOOKUP('Impax Cost Comparison'!E17,A3:B29,2,FALSE)</f>
        <v>4800</v>
      </c>
    </row>
    <row r="7" spans="1:7">
      <c r="A7" t="s">
        <v>259</v>
      </c>
      <c r="B7">
        <v>4350</v>
      </c>
      <c r="C7">
        <v>500</v>
      </c>
      <c r="D7">
        <v>48</v>
      </c>
      <c r="E7" s="267">
        <f t="shared" si="0"/>
        <v>23.016232800000001</v>
      </c>
    </row>
    <row r="8" spans="1:7">
      <c r="A8" t="s">
        <v>260</v>
      </c>
      <c r="B8">
        <v>5500</v>
      </c>
      <c r="C8">
        <v>450</v>
      </c>
      <c r="D8">
        <v>36</v>
      </c>
      <c r="E8" s="267">
        <f t="shared" si="0"/>
        <v>26.398749771428569</v>
      </c>
      <c r="G8" t="s">
        <v>289</v>
      </c>
    </row>
    <row r="9" spans="1:7">
      <c r="A9" t="s">
        <v>261</v>
      </c>
      <c r="B9">
        <v>4730</v>
      </c>
      <c r="C9">
        <v>450</v>
      </c>
      <c r="D9">
        <v>48</v>
      </c>
      <c r="E9" s="267">
        <f t="shared" si="0"/>
        <v>22.702924803428573</v>
      </c>
      <c r="G9">
        <f>VLOOKUP('Impax Cost Comparison'!E17,'Twine Data'!A3:D29,4,FALSE)</f>
        <v>36</v>
      </c>
    </row>
    <row r="10" spans="1:7">
      <c r="A10" t="s">
        <v>262</v>
      </c>
      <c r="B10">
        <v>6000</v>
      </c>
      <c r="C10">
        <v>400</v>
      </c>
      <c r="D10">
        <v>36</v>
      </c>
      <c r="E10" s="267">
        <f t="shared" si="0"/>
        <v>26.878727040000001</v>
      </c>
    </row>
    <row r="11" spans="1:7">
      <c r="A11" t="s">
        <v>263</v>
      </c>
      <c r="B11">
        <v>4850</v>
      </c>
      <c r="C11">
        <v>400</v>
      </c>
      <c r="D11">
        <v>48</v>
      </c>
      <c r="E11" s="267">
        <f t="shared" si="0"/>
        <v>21.726971023999997</v>
      </c>
      <c r="G11" t="s">
        <v>296</v>
      </c>
    </row>
    <row r="12" spans="1:7">
      <c r="A12" t="s">
        <v>264</v>
      </c>
      <c r="B12">
        <v>4050</v>
      </c>
      <c r="C12">
        <v>700</v>
      </c>
      <c r="D12">
        <v>48</v>
      </c>
      <c r="E12" s="267">
        <f t="shared" si="0"/>
        <v>23.664966198260867</v>
      </c>
      <c r="G12" s="267">
        <f>VLOOKUP('Impax Cost Comparison'!E17,'Twine Data'!A3:E29,5,FALSE)</f>
        <v>28.047367346086954</v>
      </c>
    </row>
    <row r="13" spans="1:7">
      <c r="A13" t="s">
        <v>265</v>
      </c>
      <c r="B13">
        <v>4600</v>
      </c>
      <c r="C13">
        <v>600</v>
      </c>
      <c r="D13">
        <v>48</v>
      </c>
      <c r="E13" s="267">
        <f t="shared" si="0"/>
        <v>24.339004800000001</v>
      </c>
    </row>
    <row r="14" spans="1:7">
      <c r="A14" t="s">
        <v>266</v>
      </c>
      <c r="B14">
        <v>5200</v>
      </c>
      <c r="C14">
        <v>500</v>
      </c>
      <c r="D14">
        <v>36</v>
      </c>
      <c r="E14" s="267">
        <f t="shared" si="0"/>
        <v>27.513657599999998</v>
      </c>
    </row>
    <row r="15" spans="1:7">
      <c r="A15" t="s">
        <v>267</v>
      </c>
      <c r="B15">
        <v>4000</v>
      </c>
      <c r="C15">
        <v>500</v>
      </c>
      <c r="D15">
        <v>48</v>
      </c>
      <c r="E15" s="267">
        <f t="shared" si="0"/>
        <v>21.164351999999997</v>
      </c>
    </row>
    <row r="16" spans="1:7">
      <c r="A16" t="s">
        <v>268</v>
      </c>
      <c r="B16">
        <v>5480</v>
      </c>
      <c r="C16">
        <v>450</v>
      </c>
      <c r="D16">
        <v>36</v>
      </c>
      <c r="E16" s="267">
        <f t="shared" si="0"/>
        <v>26.302754317714285</v>
      </c>
    </row>
    <row r="17" spans="1:5">
      <c r="A17" t="s">
        <v>269</v>
      </c>
      <c r="B17">
        <v>4300</v>
      </c>
      <c r="C17">
        <v>450</v>
      </c>
      <c r="D17">
        <v>48</v>
      </c>
      <c r="E17" s="267">
        <f t="shared" si="0"/>
        <v>20.639022548571429</v>
      </c>
    </row>
    <row r="18" spans="1:5">
      <c r="A18" t="s">
        <v>270</v>
      </c>
      <c r="B18">
        <v>6000</v>
      </c>
      <c r="C18">
        <v>400</v>
      </c>
      <c r="D18">
        <v>36</v>
      </c>
      <c r="E18" s="267">
        <f t="shared" si="0"/>
        <v>26.878727040000001</v>
      </c>
    </row>
    <row r="19" spans="1:5">
      <c r="A19" t="s">
        <v>271</v>
      </c>
      <c r="B19">
        <v>4650</v>
      </c>
      <c r="C19">
        <v>400</v>
      </c>
      <c r="D19">
        <v>48</v>
      </c>
      <c r="E19" s="267">
        <f t="shared" si="0"/>
        <v>20.831013455999997</v>
      </c>
    </row>
    <row r="20" spans="1:5">
      <c r="A20" t="s">
        <v>272</v>
      </c>
      <c r="B20">
        <v>6400</v>
      </c>
      <c r="C20">
        <v>350</v>
      </c>
      <c r="D20">
        <v>36</v>
      </c>
      <c r="E20" s="267">
        <f t="shared" si="0"/>
        <v>26.878727039999998</v>
      </c>
    </row>
    <row r="21" spans="1:5">
      <c r="A21" t="s">
        <v>273</v>
      </c>
      <c r="B21">
        <v>4950</v>
      </c>
      <c r="C21">
        <v>350</v>
      </c>
      <c r="D21">
        <v>48</v>
      </c>
      <c r="E21" s="267">
        <f t="shared" si="0"/>
        <v>20.789015445</v>
      </c>
    </row>
    <row r="22" spans="1:5">
      <c r="A22" t="s">
        <v>274</v>
      </c>
      <c r="B22">
        <v>7280</v>
      </c>
      <c r="C22">
        <v>280</v>
      </c>
      <c r="D22">
        <v>48</v>
      </c>
      <c r="E22" s="267">
        <f t="shared" si="0"/>
        <v>22.236037823999997</v>
      </c>
    </row>
    <row r="23" spans="1:5">
      <c r="A23" t="s">
        <v>275</v>
      </c>
      <c r="B23">
        <v>4100</v>
      </c>
      <c r="C23">
        <v>650</v>
      </c>
      <c r="D23">
        <v>48</v>
      </c>
      <c r="E23" s="267">
        <f t="shared" si="0"/>
        <v>23.957126274782606</v>
      </c>
    </row>
    <row r="24" spans="1:5">
      <c r="A24" t="s">
        <v>276</v>
      </c>
      <c r="B24">
        <v>4390</v>
      </c>
      <c r="C24">
        <v>550</v>
      </c>
      <c r="D24">
        <v>48</v>
      </c>
      <c r="E24" s="267">
        <f t="shared" si="0"/>
        <v>23.22787632</v>
      </c>
    </row>
    <row r="25" spans="1:5">
      <c r="A25" t="s">
        <v>277</v>
      </c>
      <c r="B25">
        <v>6100</v>
      </c>
      <c r="C25">
        <v>450</v>
      </c>
      <c r="D25">
        <v>36</v>
      </c>
      <c r="E25" s="267">
        <f t="shared" si="0"/>
        <v>27.326705824000001</v>
      </c>
    </row>
    <row r="26" spans="1:5">
      <c r="A26" t="s">
        <v>278</v>
      </c>
      <c r="B26">
        <v>4700</v>
      </c>
      <c r="C26">
        <v>450</v>
      </c>
      <c r="D26">
        <v>48</v>
      </c>
      <c r="E26" s="267">
        <f t="shared" si="0"/>
        <v>21.055002848000001</v>
      </c>
    </row>
    <row r="27" spans="1:5">
      <c r="A27" t="s">
        <v>279</v>
      </c>
      <c r="B27">
        <v>6900</v>
      </c>
      <c r="C27">
        <v>350</v>
      </c>
      <c r="D27">
        <v>36</v>
      </c>
      <c r="E27" s="267">
        <f t="shared" si="0"/>
        <v>27.274002437647056</v>
      </c>
    </row>
    <row r="28" spans="1:5">
      <c r="A28" t="s">
        <v>280</v>
      </c>
      <c r="B28">
        <v>5400</v>
      </c>
      <c r="C28">
        <v>350</v>
      </c>
      <c r="D28">
        <v>48</v>
      </c>
      <c r="E28" s="267">
        <f t="shared" si="0"/>
        <v>21.344871472941175</v>
      </c>
    </row>
    <row r="29" spans="1:5">
      <c r="A29" t="s">
        <v>281</v>
      </c>
      <c r="B29">
        <v>9500</v>
      </c>
      <c r="C29">
        <v>245</v>
      </c>
      <c r="D29">
        <v>36</v>
      </c>
      <c r="E29" s="267">
        <f t="shared" si="0"/>
        <v>23.998863428571433</v>
      </c>
    </row>
    <row r="33" spans="1:6">
      <c r="B33" t="s">
        <v>290</v>
      </c>
      <c r="C33" t="s">
        <v>291</v>
      </c>
      <c r="D33" t="s">
        <v>292</v>
      </c>
      <c r="E33" t="s">
        <v>293</v>
      </c>
      <c r="F33" t="s">
        <v>294</v>
      </c>
    </row>
    <row r="34" spans="1:6">
      <c r="A34" t="s">
        <v>255</v>
      </c>
      <c r="B34">
        <v>4800</v>
      </c>
      <c r="C34">
        <f>B34*0.3048</f>
        <v>1463.04</v>
      </c>
      <c r="D34">
        <v>115</v>
      </c>
      <c r="E34" s="123">
        <f>C34/D34</f>
        <v>12.722086956521739</v>
      </c>
      <c r="F34" s="267">
        <f>E34*2.20462</f>
        <v>28.047367346086954</v>
      </c>
    </row>
    <row r="35" spans="1:6">
      <c r="A35" t="s">
        <v>256</v>
      </c>
      <c r="B35">
        <v>5000</v>
      </c>
      <c r="C35">
        <f t="shared" ref="C35:C60" si="1">B35*0.3048</f>
        <v>1524</v>
      </c>
      <c r="D35">
        <v>127</v>
      </c>
      <c r="E35" s="123">
        <f t="shared" ref="E35:E60" si="2">C35/D35</f>
        <v>12</v>
      </c>
      <c r="F35" s="267">
        <f t="shared" ref="F35:F60" si="3">E35*2.20462</f>
        <v>26.455439999999996</v>
      </c>
    </row>
    <row r="36" spans="1:6">
      <c r="A36" t="s">
        <v>257</v>
      </c>
      <c r="B36">
        <v>4700</v>
      </c>
      <c r="C36">
        <f t="shared" si="1"/>
        <v>1432.5600000000002</v>
      </c>
      <c r="D36">
        <v>127</v>
      </c>
      <c r="E36" s="123">
        <f t="shared" si="2"/>
        <v>11.280000000000001</v>
      </c>
      <c r="F36" s="267">
        <f t="shared" si="3"/>
        <v>24.868113600000001</v>
      </c>
    </row>
    <row r="37" spans="1:6">
      <c r="A37" t="s">
        <v>258</v>
      </c>
      <c r="B37">
        <v>5200</v>
      </c>
      <c r="C37">
        <f t="shared" si="1"/>
        <v>1584.96</v>
      </c>
      <c r="D37">
        <v>127</v>
      </c>
      <c r="E37" s="123">
        <f t="shared" si="2"/>
        <v>12.48</v>
      </c>
      <c r="F37" s="267">
        <f t="shared" si="3"/>
        <v>27.513657599999998</v>
      </c>
    </row>
    <row r="38" spans="1:6">
      <c r="A38" t="s">
        <v>259</v>
      </c>
      <c r="B38">
        <v>4350</v>
      </c>
      <c r="C38">
        <f t="shared" si="1"/>
        <v>1325.88</v>
      </c>
      <c r="D38">
        <v>127</v>
      </c>
      <c r="E38" s="123">
        <f t="shared" si="2"/>
        <v>10.440000000000001</v>
      </c>
      <c r="F38" s="267">
        <f t="shared" si="3"/>
        <v>23.016232800000001</v>
      </c>
    </row>
    <row r="39" spans="1:6">
      <c r="A39" t="s">
        <v>260</v>
      </c>
      <c r="B39">
        <v>5500</v>
      </c>
      <c r="C39">
        <f t="shared" si="1"/>
        <v>1676.4</v>
      </c>
      <c r="D39">
        <v>140</v>
      </c>
      <c r="E39" s="123">
        <f t="shared" si="2"/>
        <v>11.974285714285715</v>
      </c>
      <c r="F39" s="267">
        <f t="shared" si="3"/>
        <v>26.398749771428569</v>
      </c>
    </row>
    <row r="40" spans="1:6">
      <c r="A40" t="s">
        <v>261</v>
      </c>
      <c r="B40">
        <v>4730</v>
      </c>
      <c r="C40">
        <f t="shared" si="1"/>
        <v>1441.7040000000002</v>
      </c>
      <c r="D40">
        <v>140</v>
      </c>
      <c r="E40" s="123">
        <f t="shared" si="2"/>
        <v>10.297885714285716</v>
      </c>
      <c r="F40" s="267">
        <f t="shared" si="3"/>
        <v>22.702924803428573</v>
      </c>
    </row>
    <row r="41" spans="1:6">
      <c r="A41" t="s">
        <v>262</v>
      </c>
      <c r="B41">
        <v>6000</v>
      </c>
      <c r="C41">
        <f t="shared" si="1"/>
        <v>1828.8000000000002</v>
      </c>
      <c r="D41">
        <v>150</v>
      </c>
      <c r="E41" s="123">
        <f t="shared" si="2"/>
        <v>12.192000000000002</v>
      </c>
      <c r="F41" s="267">
        <f t="shared" si="3"/>
        <v>26.878727040000001</v>
      </c>
    </row>
    <row r="42" spans="1:6">
      <c r="A42" t="s">
        <v>263</v>
      </c>
      <c r="B42">
        <v>4850</v>
      </c>
      <c r="C42">
        <f t="shared" si="1"/>
        <v>1478.28</v>
      </c>
      <c r="D42">
        <v>150</v>
      </c>
      <c r="E42" s="123">
        <f t="shared" si="2"/>
        <v>9.8552</v>
      </c>
      <c r="F42" s="267">
        <f t="shared" si="3"/>
        <v>21.726971023999997</v>
      </c>
    </row>
    <row r="43" spans="1:6">
      <c r="A43" t="s">
        <v>264</v>
      </c>
      <c r="B43">
        <v>4050</v>
      </c>
      <c r="C43">
        <f t="shared" si="1"/>
        <v>1234.44</v>
      </c>
      <c r="D43">
        <v>115</v>
      </c>
      <c r="E43" s="123">
        <f t="shared" si="2"/>
        <v>10.734260869565217</v>
      </c>
      <c r="F43" s="267">
        <f t="shared" si="3"/>
        <v>23.664966198260867</v>
      </c>
    </row>
    <row r="44" spans="1:6">
      <c r="A44" t="s">
        <v>265</v>
      </c>
      <c r="B44">
        <v>4600</v>
      </c>
      <c r="C44">
        <f t="shared" si="1"/>
        <v>1402.0800000000002</v>
      </c>
      <c r="D44">
        <v>127</v>
      </c>
      <c r="E44" s="123">
        <f t="shared" si="2"/>
        <v>11.040000000000001</v>
      </c>
      <c r="F44" s="267">
        <f t="shared" si="3"/>
        <v>24.339004800000001</v>
      </c>
    </row>
    <row r="45" spans="1:6">
      <c r="A45" t="s">
        <v>266</v>
      </c>
      <c r="B45">
        <v>5200</v>
      </c>
      <c r="C45">
        <f t="shared" si="1"/>
        <v>1584.96</v>
      </c>
      <c r="D45">
        <v>127</v>
      </c>
      <c r="E45" s="123">
        <f t="shared" si="2"/>
        <v>12.48</v>
      </c>
      <c r="F45" s="267">
        <f t="shared" si="3"/>
        <v>27.513657599999998</v>
      </c>
    </row>
    <row r="46" spans="1:6">
      <c r="A46" t="s">
        <v>267</v>
      </c>
      <c r="B46">
        <v>4000</v>
      </c>
      <c r="C46">
        <f t="shared" si="1"/>
        <v>1219.2</v>
      </c>
      <c r="D46">
        <v>127</v>
      </c>
      <c r="E46" s="123">
        <f t="shared" si="2"/>
        <v>9.6</v>
      </c>
      <c r="F46" s="267">
        <f t="shared" si="3"/>
        <v>21.164351999999997</v>
      </c>
    </row>
    <row r="47" spans="1:6">
      <c r="A47" t="s">
        <v>268</v>
      </c>
      <c r="B47">
        <v>5480</v>
      </c>
      <c r="C47">
        <f t="shared" si="1"/>
        <v>1670.3040000000001</v>
      </c>
      <c r="D47">
        <v>140</v>
      </c>
      <c r="E47" s="123">
        <f t="shared" si="2"/>
        <v>11.930742857142858</v>
      </c>
      <c r="F47" s="267">
        <f t="shared" si="3"/>
        <v>26.302754317714285</v>
      </c>
    </row>
    <row r="48" spans="1:6">
      <c r="A48" t="s">
        <v>269</v>
      </c>
      <c r="B48">
        <v>4300</v>
      </c>
      <c r="C48">
        <f t="shared" si="1"/>
        <v>1310.6400000000001</v>
      </c>
      <c r="D48">
        <v>140</v>
      </c>
      <c r="E48" s="123">
        <f t="shared" si="2"/>
        <v>9.361714285714287</v>
      </c>
      <c r="F48" s="267">
        <f t="shared" si="3"/>
        <v>20.639022548571429</v>
      </c>
    </row>
    <row r="49" spans="1:6">
      <c r="A49" t="s">
        <v>270</v>
      </c>
      <c r="B49">
        <v>6000</v>
      </c>
      <c r="C49">
        <f t="shared" si="1"/>
        <v>1828.8000000000002</v>
      </c>
      <c r="D49">
        <v>150</v>
      </c>
      <c r="E49" s="123">
        <f t="shared" si="2"/>
        <v>12.192000000000002</v>
      </c>
      <c r="F49" s="267">
        <f t="shared" si="3"/>
        <v>26.878727040000001</v>
      </c>
    </row>
    <row r="50" spans="1:6">
      <c r="A50" t="s">
        <v>271</v>
      </c>
      <c r="B50">
        <v>4650</v>
      </c>
      <c r="C50">
        <f t="shared" si="1"/>
        <v>1417.3200000000002</v>
      </c>
      <c r="D50">
        <v>150</v>
      </c>
      <c r="E50" s="123">
        <f t="shared" si="2"/>
        <v>9.4488000000000003</v>
      </c>
      <c r="F50" s="267">
        <f t="shared" si="3"/>
        <v>20.831013455999997</v>
      </c>
    </row>
    <row r="51" spans="1:6">
      <c r="A51" t="s">
        <v>272</v>
      </c>
      <c r="B51">
        <v>6400</v>
      </c>
      <c r="C51">
        <f t="shared" si="1"/>
        <v>1950.72</v>
      </c>
      <c r="D51">
        <v>160</v>
      </c>
      <c r="E51" s="123">
        <f t="shared" si="2"/>
        <v>12.192</v>
      </c>
      <c r="F51" s="267">
        <f t="shared" si="3"/>
        <v>26.878727039999998</v>
      </c>
    </row>
    <row r="52" spans="1:6">
      <c r="A52" t="s">
        <v>273</v>
      </c>
      <c r="B52">
        <v>4950</v>
      </c>
      <c r="C52">
        <f t="shared" si="1"/>
        <v>1508.76</v>
      </c>
      <c r="D52">
        <v>160</v>
      </c>
      <c r="E52" s="123">
        <f t="shared" si="2"/>
        <v>9.4297500000000003</v>
      </c>
      <c r="F52" s="267">
        <f t="shared" si="3"/>
        <v>20.789015445</v>
      </c>
    </row>
    <row r="53" spans="1:6">
      <c r="A53" t="s">
        <v>274</v>
      </c>
      <c r="B53">
        <v>7280</v>
      </c>
      <c r="C53">
        <f t="shared" si="1"/>
        <v>2218.944</v>
      </c>
      <c r="D53">
        <v>220</v>
      </c>
      <c r="E53" s="123">
        <f t="shared" si="2"/>
        <v>10.08610909090909</v>
      </c>
      <c r="F53" s="267">
        <f t="shared" si="3"/>
        <v>22.236037823999997</v>
      </c>
    </row>
    <row r="54" spans="1:6">
      <c r="A54" t="s">
        <v>275</v>
      </c>
      <c r="B54">
        <v>4100</v>
      </c>
      <c r="C54">
        <f t="shared" si="1"/>
        <v>1249.68</v>
      </c>
      <c r="D54">
        <v>115</v>
      </c>
      <c r="E54" s="123">
        <f t="shared" si="2"/>
        <v>10.866782608695653</v>
      </c>
      <c r="F54" s="267">
        <f t="shared" si="3"/>
        <v>23.957126274782606</v>
      </c>
    </row>
    <row r="55" spans="1:6">
      <c r="A55" t="s">
        <v>276</v>
      </c>
      <c r="B55">
        <v>4390</v>
      </c>
      <c r="C55">
        <f t="shared" si="1"/>
        <v>1338.0720000000001</v>
      </c>
      <c r="D55">
        <v>127</v>
      </c>
      <c r="E55" s="123">
        <f t="shared" si="2"/>
        <v>10.536000000000001</v>
      </c>
      <c r="F55" s="267">
        <f t="shared" si="3"/>
        <v>23.22787632</v>
      </c>
    </row>
    <row r="56" spans="1:6">
      <c r="A56" t="s">
        <v>277</v>
      </c>
      <c r="B56">
        <v>6100</v>
      </c>
      <c r="C56">
        <f t="shared" si="1"/>
        <v>1859.2800000000002</v>
      </c>
      <c r="D56">
        <v>150</v>
      </c>
      <c r="E56" s="123">
        <f t="shared" si="2"/>
        <v>12.395200000000001</v>
      </c>
      <c r="F56" s="267">
        <f t="shared" si="3"/>
        <v>27.326705824000001</v>
      </c>
    </row>
    <row r="57" spans="1:6">
      <c r="A57" t="s">
        <v>278</v>
      </c>
      <c r="B57">
        <v>4700</v>
      </c>
      <c r="C57">
        <f t="shared" si="1"/>
        <v>1432.5600000000002</v>
      </c>
      <c r="D57">
        <v>150</v>
      </c>
      <c r="E57" s="123">
        <f t="shared" si="2"/>
        <v>9.5504000000000016</v>
      </c>
      <c r="F57" s="267">
        <f t="shared" si="3"/>
        <v>21.055002848000001</v>
      </c>
    </row>
    <row r="58" spans="1:6">
      <c r="A58" t="s">
        <v>279</v>
      </c>
      <c r="B58">
        <v>6900</v>
      </c>
      <c r="C58">
        <f t="shared" si="1"/>
        <v>2103.12</v>
      </c>
      <c r="D58">
        <v>170</v>
      </c>
      <c r="E58" s="123">
        <f t="shared" si="2"/>
        <v>12.371294117647059</v>
      </c>
      <c r="F58" s="267">
        <f t="shared" si="3"/>
        <v>27.274002437647056</v>
      </c>
    </row>
    <row r="59" spans="1:6">
      <c r="A59" t="s">
        <v>280</v>
      </c>
      <c r="B59">
        <v>5400</v>
      </c>
      <c r="C59">
        <f t="shared" si="1"/>
        <v>1645.92</v>
      </c>
      <c r="D59">
        <v>170</v>
      </c>
      <c r="E59" s="123">
        <f t="shared" si="2"/>
        <v>9.6818823529411766</v>
      </c>
      <c r="F59" s="267">
        <f t="shared" si="3"/>
        <v>21.344871472941175</v>
      </c>
    </row>
    <row r="60" spans="1:6">
      <c r="A60" t="s">
        <v>281</v>
      </c>
      <c r="B60">
        <v>9500</v>
      </c>
      <c r="C60">
        <f t="shared" si="1"/>
        <v>2895.6000000000004</v>
      </c>
      <c r="D60">
        <v>266</v>
      </c>
      <c r="E60" s="123">
        <f t="shared" si="2"/>
        <v>10.885714285714288</v>
      </c>
      <c r="F60" s="267">
        <f t="shared" si="3"/>
        <v>23.998863428571433</v>
      </c>
    </row>
  </sheetData>
  <sheetProtection algorithmName="SHA-512" hashValue="lUd2S87FhLTBKwcKXmad4vpJ0xn4fd344akPVB7BU3AberVJxCiYijNSGAgRWLX9EJ77F1HMWr76QkDFhdMvEA==" saltValue="qwndMnnIJlfylE1dOASbkQ==" spinCount="100000" sheet="1" objects="1" scenarios="1" selectLockedCells="1" selectUn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Netwrap Calculator</vt:lpstr>
      <vt:lpstr>Net Data</vt:lpstr>
      <vt:lpstr>Dealer Twine Cost Comparison</vt:lpstr>
      <vt:lpstr>End User Twine Cost Comparison</vt:lpstr>
      <vt:lpstr>Impax Cost Comparison</vt:lpstr>
      <vt:lpstr>Impax Transport Savings</vt:lpstr>
      <vt:lpstr>Impax Cost Summary</vt:lpstr>
      <vt:lpstr>Twine Data</vt:lpstr>
      <vt:lpstr>'Impax Cost Comparison'!Print_Area</vt:lpstr>
      <vt:lpstr>'Impax Cost Summary'!Print_Area</vt:lpstr>
      <vt:lpstr>'Impax Transport Savings'!Print_Area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Utilisateur de Microsoft Office</dc:creator>
  <cp:keywords/>
  <dc:description/>
  <cp:lastModifiedBy>Matthew McWilliams</cp:lastModifiedBy>
  <cp:revision/>
  <dcterms:created xsi:type="dcterms:W3CDTF">2016-12-08T14:36:33Z</dcterms:created>
  <dcterms:modified xsi:type="dcterms:W3CDTF">2025-10-01T23:51:34Z</dcterms:modified>
  <cp:category/>
  <cp:contentStatus/>
</cp:coreProperties>
</file>